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drawings/drawing97.xml" ContentType="application/vnd.openxmlformats-officedocument.drawingml.chartshapes+xml"/>
  <Override PartName="/xl/drawings/drawing11.xml" ContentType="application/vnd.openxmlformats-officedocument.drawingml.chartshapes+xml"/>
  <Override PartName="/xl/drawings/drawing68.xml" ContentType="application/vnd.openxmlformats-officedocument.drawingml.chartshapes+xml"/>
  <Override PartName="/xl/drawings/drawing27.xml" ContentType="application/vnd.openxmlformats-officedocument.drawingml.chartshapes+xml"/>
  <Override PartName="/xl/drawings/drawing63.xml" ContentType="application/vnd.openxmlformats-officedocument.drawingml.chartshapes+xml"/>
  <Override PartName="/xl/drawings/drawing87.xml" ContentType="application/vnd.openxmlformats-officedocument.drawingml.chartshapes+xml"/>
  <Override PartName="/xl/drawings/drawing12.xml" ContentType="application/vnd.openxmlformats-officedocument.drawingml.chartshapes+xml"/>
  <Override PartName="/xl/drawings/drawing48.xml" ContentType="application/vnd.openxmlformats-officedocument.drawingml.chartshapes+xml"/>
  <Override PartName="/xl/drawings/drawing94.xml" ContentType="application/vnd.openxmlformats-officedocument.drawingml.chartshapes+xml"/>
  <Override PartName="/xl/drawings/drawing28.xml" ContentType="application/vnd.openxmlformats-officedocument.drawingml.chartshapes+xml"/>
  <Override PartName="/xl/drawings/drawing113.xml" ContentType="application/vnd.openxmlformats-officedocument.drawingml.chartshapes+xml"/>
  <Override PartName="/xl/drawings/drawing13.xml" ContentType="application/vnd.openxmlformats-officedocument.drawingml.chartshapes+xml"/>
  <Override PartName="/xl/drawings/drawing79.xml" ContentType="application/vnd.openxmlformats-officedocument.drawingml.chartshapes+xml"/>
  <Override PartName="/xl/drawings/drawing58.xml" ContentType="application/vnd.openxmlformats-officedocument.drawingml.chartshapes+xml"/>
  <Override PartName="/xl/drawings/drawing85.xml" ContentType="application/vnd.openxmlformats-officedocument.drawingml.chartshapes+xml"/>
  <Override PartName="/xl/drawings/drawing50.xml" ContentType="application/vnd.openxmlformats-officedocument.drawingml.chartshapes+xml"/>
  <Override PartName="/xl/drawings/drawing14.xml" ContentType="application/vnd.openxmlformats-officedocument.drawingml.chartshapes+xml"/>
  <Override PartName="/xl/drawings/drawing82.xml" ContentType="application/vnd.openxmlformats-officedocument.drawingml.chartshapes+xml"/>
  <Override PartName="/xl/drawings/drawing30.xml" ContentType="application/vnd.openxmlformats-officedocument.drawingml.chartshapes+xml"/>
  <Override PartName="/xl/drawings/drawing93.xml" ContentType="application/vnd.openxmlformats-officedocument.drawingml.chartshapes+xml"/>
  <Override PartName="/xl/drawings/drawing64.xml" ContentType="application/vnd.openxmlformats-officedocument.drawingml.chartshapes+xml"/>
  <Override PartName="/xl/drawings/drawing15.xml" ContentType="application/vnd.openxmlformats-officedocument.drawingml.chartshapes+xml"/>
  <Override PartName="/xl/drawings/drawing92.xml" ContentType="application/vnd.openxmlformats-officedocument.drawingml.chartshapes+xml"/>
  <Override PartName="/xl/drawings/drawing59.xml" ContentType="application/vnd.openxmlformats-officedocument.drawingml.chartshapes+xml"/>
  <Override PartName="/xl/drawings/drawing31.xml" ContentType="application/vnd.openxmlformats-officedocument.drawingml.chartshapes+xml"/>
  <Override PartName="/xl/drawings/drawing69.xml" ContentType="application/vnd.openxmlformats-officedocument.drawingml.chartshapes+xml"/>
  <Override PartName="/xl/drawings/drawing16.xml" ContentType="application/vnd.openxmlformats-officedocument.drawingml.chartshapes+xml"/>
  <Override PartName="/xl/drawings/drawing81.xml" ContentType="application/vnd.openxmlformats-officedocument.drawingml.chartshapes+xml"/>
  <Override PartName="/xl/drawings/drawing53.xml" ContentType="application/vnd.openxmlformats-officedocument.drawingml.chartshapes+xml"/>
  <Override PartName="/xl/drawings/drawing78.xml" ContentType="application/vnd.openxmlformats-officedocument.drawingml.chartshapes+xml"/>
  <Override PartName="/xl/drawings/drawing32.xml" ContentType="application/vnd.openxmlformats-officedocument.drawingml.chartshapes+xml"/>
  <Override PartName="/xl/drawings/drawing17.xml" ContentType="application/vnd.openxmlformats-officedocument.drawingml.chartshapes+xml"/>
  <Override PartName="/xl/drawings/drawing112.xml" ContentType="application/vnd.openxmlformats-officedocument.drawingml.chartshapes+xml"/>
  <Override PartName="/xl/drawings/drawing76.xml" ContentType="application/vnd.openxmlformats-officedocument.drawingml.chartshapes+xml"/>
  <Override PartName="/xl/drawings/drawing110.xml" ContentType="application/vnd.openxmlformats-officedocument.drawingml.chartshapes+xml"/>
  <Override PartName="/xl/drawings/drawing60.xml" ContentType="application/vnd.openxmlformats-officedocument.drawingml.chartshapes+xml"/>
  <Override PartName="/xl/drawings/drawing18.xml" ContentType="application/vnd.openxmlformats-officedocument.drawingml.chartshapes+xml"/>
  <Override PartName="/xl/drawings/drawing83.xml" ContentType="application/vnd.openxmlformats-officedocument.drawingml.chartshapes+xml"/>
  <Override PartName="/xl/drawings/drawing54.xml" ContentType="application/vnd.openxmlformats-officedocument.drawingml.chartshapes+xml"/>
  <Override PartName="/xl/drawings/drawing35.xml" ContentType="application/vnd.openxmlformats-officedocument.drawingml.chartshapes+xml"/>
  <Override PartName="/xl/drawings/drawing109.xml" ContentType="application/vnd.openxmlformats-officedocument.drawingml.chartshapes+xml"/>
  <Override PartName="/xl/drawings/drawing19.xml" ContentType="application/vnd.openxmlformats-officedocument.drawingml.chartshapes+xml"/>
  <Override PartName="/xl/drawings/drawing66.xml" ContentType="application/vnd.openxmlformats-officedocument.drawingml.chartshapes+xml"/>
  <Override PartName="/xl/drawings/drawing70.xml" ContentType="application/vnd.openxmlformats-officedocument.drawingml.chartshapes+xml"/>
  <Override PartName="/xl/drawings/drawing91.xml" ContentType="application/vnd.openxmlformats-officedocument.drawingml.chartshapes+xml"/>
  <Override PartName="/xl/drawings/drawing37.xml" ContentType="application/vnd.openxmlformats-officedocument.drawingml.chartshapes+xml"/>
  <Override PartName="/xl/drawings/drawing20.xml" ContentType="application/vnd.openxmlformats-officedocument.drawingml.chartshapes+xml"/>
  <Override PartName="/xl/drawings/drawing108.xml" ContentType="application/vnd.openxmlformats-officedocument.drawingml.chartshapes+xml"/>
  <Override PartName="/xl/drawings/drawing61.xml" ContentType="application/vnd.openxmlformats-officedocument.drawingml.chartshapes+xml"/>
  <Override PartName="/xl/drawings/drawing55.xml" ContentType="application/vnd.openxmlformats-officedocument.drawingml.chartshapes+xml"/>
  <Override PartName="/xl/drawings/drawing80.xml" ContentType="application/vnd.openxmlformats-officedocument.drawingml.chartshapes+xml"/>
  <Override PartName="/xl/drawings/drawing21.xml" ContentType="application/vnd.openxmlformats-officedocument.drawingml.chartshapes+xml"/>
  <Override PartName="/xl/drawings/drawing123.xml" ContentType="application/vnd.openxmlformats-officedocument.drawingml.chartshapes+xml"/>
  <Override PartName="/xl/drawings/drawing116.xml" ContentType="application/vnd.openxmlformats-officedocument.drawingml.chartshapes+xml"/>
  <Override PartName="/xl/drawings/drawing39.xml" ContentType="application/vnd.openxmlformats-officedocument.drawingml.chartshapes+xml"/>
  <Override PartName="/xl/drawings/drawing115.xml" ContentType="application/vnd.openxmlformats-officedocument.drawingml.chartshapes+xml"/>
  <Override PartName="/xl/drawings/drawing122.xml" ContentType="application/vnd.openxmlformats-officedocument.drawingml.chartshapes+xml"/>
  <Override PartName="/xl/drawings/drawing101.xml" ContentType="application/vnd.openxmlformats-officedocument.drawingml.chartshapes+xml"/>
  <Override PartName="/xl/drawings/drawing90.xml" ContentType="application/vnd.openxmlformats-officedocument.drawingml.chartshapes+xml"/>
  <Override PartName="/xl/drawings/drawing67.xml" ContentType="application/vnd.openxmlformats-officedocument.drawingml.chartshapes+xml"/>
  <Override PartName="/xl/drawings/drawing121.xml" ContentType="application/vnd.openxmlformats-officedocument.drawingml.chartshapes+xml"/>
  <Override PartName="/xl/drawings/drawing86.xml" ContentType="application/vnd.openxmlformats-officedocument.drawingml.chartshapes+xml"/>
  <Override PartName="/xl/drawings/drawing119.xml" ContentType="application/vnd.openxmlformats-officedocument.drawingml.chartshapes+xml"/>
  <Override PartName="/xl/drawings/drawing41.xml" ContentType="application/vnd.openxmlformats-officedocument.drawingml.chartshapes+xml"/>
  <Override PartName="/xl/drawings/drawing24.xml" ContentType="application/vnd.openxmlformats-officedocument.drawingml.chartshapes+xml"/>
  <Override PartName="/xl/drawings/drawing118.xml" ContentType="application/vnd.openxmlformats-officedocument.drawingml.chartshapes+xml"/>
  <Override PartName="/xl/drawings/drawing100.xml" ContentType="application/vnd.openxmlformats-officedocument.drawingml.chartshapes+xml"/>
  <Override PartName="/xl/drawings/drawing56.xml" ContentType="application/vnd.openxmlformats-officedocument.drawingml.chartshapes+xml"/>
  <Override PartName="/xl/workbook.xml" ContentType="application/vnd.openxmlformats-officedocument.spreadsheetml.sheet.main+xml"/>
  <Override PartName="/xl/drawings/drawing88.xml" ContentType="application/vnd.openxmlformats-officedocument.drawingml.chartshapes+xml"/>
  <Override PartName="/xl/drawings/drawing25.xml" ContentType="application/vnd.openxmlformats-officedocument.drawingml.chartshapes+xml"/>
  <Override PartName="/xl/drawings/drawing9.xml" ContentType="application/vnd.openxmlformats-officedocument.drawingml.chartshapes+xml"/>
  <Override PartName="/xl/drawings/drawing43.xml" ContentType="application/vnd.openxmlformats-officedocument.drawingml.chartshapes+xml"/>
  <Override PartName="/xl/drawings/drawing99.xml" ContentType="application/vnd.openxmlformats-officedocument.drawingml.chartshapes+xml"/>
  <Override PartName="/xl/drawings/drawing84.xml" ContentType="application/vnd.openxmlformats-officedocument.drawingml.chartshapes+xml"/>
  <Override PartName="/xl/drawings/drawing98.xml" ContentType="application/vnd.openxmlformats-officedocument.drawingml.chartshapes+xml"/>
  <Override PartName="/xl/drawings/drawing10.xml" ContentType="application/vnd.openxmlformats-officedocument.drawingml.chartshapes+xml"/>
  <Override PartName="/xl/drawings/drawing26.xml" ContentType="application/vnd.openxmlformats-officedocument.drawingml.chartshapes+xml"/>
  <Override PartName="/xl/drawings/drawing77.xml" ContentType="application/vnd.openxmlformats-officedocument.drawingml.chartshapes+xml"/>
  <Override PartName="/xl/drawings/drawing62.xml" ContentType="application/vnd.openxmlformats-officedocument.drawingml.chartshapes+xml"/>
  <Override PartName="/xl/drawings/drawing126.xml" ContentType="application/vnd.openxmlformats-officedocument.drawingml.chartshapes+xml"/>
  <Override PartName="/xl/drawings/drawing127.xml" ContentType="application/vnd.openxmlformats-officedocument.drawingml.chartshapes+xml"/>
  <Override PartName="/xl/drawings/drawing129.xml" ContentType="application/vnd.openxmlformats-officedocument.drawingml.chartshapes+xml"/>
  <Override PartName="/xl/drawings/drawing130.xml" ContentType="application/vnd.openxmlformats-officedocument.drawingml.chartshapes+xml"/>
  <Override PartName="/xl/drawings/drawing131.xml" ContentType="application/vnd.openxmlformats-officedocument.drawingml.chartshapes+xml"/>
  <Override PartName="/xl/drawings/drawing133.xml" ContentType="application/vnd.openxmlformats-officedocument.drawingml.chartshapes+xml"/>
  <Override PartName="/xl/drawings/drawing135.xml" ContentType="application/vnd.openxmlformats-officedocument.drawingml.chartshapes+xml"/>
  <Override PartName="/xl/drawings/drawing137.xml" ContentType="application/vnd.openxmlformats-officedocument.drawingml.chartshapes+xml"/>
  <Override PartName="/xl/drawings/drawing57.xml" ContentType="application/vnd.openxmlformats-officedocument.drawingml.chartshapes+xml"/>
  <Override PartName="/xl/drawings/drawing125.xml" ContentType="application/vnd.openxmlformats-officedocument.drawingml.chartshapes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3.xml" ContentType="application/vnd.openxmlformats-officedocument.themeOverride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4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5.xml" ContentType="application/vnd.openxmlformats-officedocument.themeOverrid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6.xml" ContentType="application/vnd.openxmlformats-officedocument.themeOverrid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7.xml" ContentType="application/vnd.openxmlformats-officedocument.themeOverrid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8.xml" ContentType="application/vnd.openxmlformats-officedocument.themeOverride+xml"/>
  <Override PartName="/xl/drawings/drawing2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9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20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21.xml" ContentType="application/vnd.openxmlformats-officedocument.themeOverride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harts/chart22.xml" ContentType="application/vnd.openxmlformats-officedocument.drawingml.chart+xml"/>
  <Override PartName="/xl/theme/themeOverride22.xml" ContentType="application/vnd.openxmlformats-officedocument.themeOverride+xml"/>
  <Override PartName="/xl/drawings/drawing36.xml" ContentType="application/vnd.openxmlformats-officedocument.drawing+xml"/>
  <Override PartName="/xl/charts/chart23.xml" ContentType="application/vnd.openxmlformats-officedocument.drawingml.chart+xml"/>
  <Override PartName="/xl/theme/themeOverride23.xml" ContentType="application/vnd.openxmlformats-officedocument.themeOverride+xml"/>
  <Override PartName="/xl/drawings/drawing38.xml" ContentType="application/vnd.openxmlformats-officedocument.drawing+xml"/>
  <Override PartName="/xl/charts/chart24.xml" ContentType="application/vnd.openxmlformats-officedocument.drawingml.chart+xml"/>
  <Override PartName="/xl/theme/themeOverride24.xml" ContentType="application/vnd.openxmlformats-officedocument.themeOverride+xml"/>
  <Override PartName="/xl/drawings/drawing40.xml" ContentType="application/vnd.openxmlformats-officedocument.drawing+xml"/>
  <Override PartName="/xl/charts/chart25.xml" ContentType="application/vnd.openxmlformats-officedocument.drawingml.chart+xml"/>
  <Override PartName="/xl/theme/themeOverride25.xml" ContentType="application/vnd.openxmlformats-officedocument.themeOverride+xml"/>
  <Override PartName="/xl/drawings/drawing42.xml" ContentType="application/vnd.openxmlformats-officedocument.drawing+xml"/>
  <Override PartName="/xl/charts/chart26.xml" ContentType="application/vnd.openxmlformats-officedocument.drawingml.chart+xml"/>
  <Override PartName="/xl/theme/themeOverride26.xml" ContentType="application/vnd.openxmlformats-officedocument.themeOverride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charts/chart27.xml" ContentType="application/vnd.openxmlformats-officedocument.drawingml.chart+xml"/>
  <Override PartName="/xl/theme/themeOverride27.xml" ContentType="application/vnd.openxmlformats-officedocument.themeOverride+xml"/>
  <Override PartName="/xl/drawings/drawing49.xml" ContentType="application/vnd.openxmlformats-officedocument.drawing+xml"/>
  <Override PartName="/xl/charts/chart28.xml" ContentType="application/vnd.openxmlformats-officedocument.drawingml.chart+xml"/>
  <Override PartName="/xl/theme/themeOverride28.xml" ContentType="application/vnd.openxmlformats-officedocument.themeOverride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charts/chart29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29.xml" ContentType="application/vnd.openxmlformats-officedocument.themeOverride+xml"/>
  <Override PartName="/xl/charts/chart30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30.xml" ContentType="application/vnd.openxmlformats-officedocument.themeOverride+xml"/>
  <Override PartName="/xl/charts/chart31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31.xml" ContentType="application/vnd.openxmlformats-officedocument.themeOverride+xml"/>
  <Override PartName="/xl/charts/chart32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32.xml" ContentType="application/vnd.openxmlformats-officedocument.themeOverride+xml"/>
  <Override PartName="/xl/charts/chart33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33.xml" ContentType="application/vnd.openxmlformats-officedocument.themeOverride+xml"/>
  <Override PartName="/xl/charts/chart34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34.xml" ContentType="application/vnd.openxmlformats-officedocument.themeOverride+xml"/>
  <Override PartName="/xl/charts/chart35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35.xml" ContentType="application/vnd.openxmlformats-officedocument.themeOverride+xml"/>
  <Override PartName="/xl/charts/chart36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36.xml" ContentType="application/vnd.openxmlformats-officedocument.themeOverride+xml"/>
  <Override PartName="/xl/charts/chart37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37.xml" ContentType="application/vnd.openxmlformats-officedocument.themeOverride+xml"/>
  <Override PartName="/xl/charts/chart38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38.xml" ContentType="application/vnd.openxmlformats-officedocument.themeOverride+xml"/>
  <Override PartName="/xl/charts/chart39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39.xml" ContentType="application/vnd.openxmlformats-officedocument.themeOverride+xml"/>
  <Override PartName="/xl/charts/chart40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theme/themeOverride40.xml" ContentType="application/vnd.openxmlformats-officedocument.themeOverride+xml"/>
  <Override PartName="/xl/drawings/drawing65.xml" ContentType="application/vnd.openxmlformats-officedocument.drawing+xml"/>
  <Override PartName="/xl/charts/chart41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theme/themeOverride41.xml" ContentType="application/vnd.openxmlformats-officedocument.themeOverride+xml"/>
  <Override PartName="/xl/charts/chart42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theme/themeOverride42.xml" ContentType="application/vnd.openxmlformats-officedocument.themeOverride+xml"/>
  <Override PartName="/xl/charts/chart43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theme/themeOverride43.xml" ContentType="application/vnd.openxmlformats-officedocument.themeOverride+xml"/>
  <Override PartName="/xl/charts/chart44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theme/themeOverride44.xml" ContentType="application/vnd.openxmlformats-officedocument.themeOverride+xml"/>
  <Override PartName="/xl/charts/chart45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theme/themeOverride45.xml" ContentType="application/vnd.openxmlformats-officedocument.themeOverride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charts/chart46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theme/themeOverride46.xml" ContentType="application/vnd.openxmlformats-officedocument.themeOverride+xml"/>
  <Override PartName="/xl/charts/chart47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theme/themeOverride47.xml" ContentType="application/vnd.openxmlformats-officedocument.themeOverride+xml"/>
  <Override PartName="/xl/charts/chart48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theme/themeOverride48.xml" ContentType="application/vnd.openxmlformats-officedocument.themeOverride+xml"/>
  <Override PartName="/xl/charts/chart49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theme/themeOverride49.xml" ContentType="application/vnd.openxmlformats-officedocument.themeOverride+xml"/>
  <Override PartName="/xl/charts/chart50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theme/themeOverride50.xml" ContentType="application/vnd.openxmlformats-officedocument.themeOverride+xml"/>
  <Override PartName="/xl/charts/chart51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theme/themeOverride51.xml" ContentType="application/vnd.openxmlformats-officedocument.themeOverride+xml"/>
  <Override PartName="/xl/charts/chart52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theme/themeOverride52.xml" ContentType="application/vnd.openxmlformats-officedocument.themeOverride+xml"/>
  <Override PartName="/xl/charts/chart53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theme/themeOverride53.xml" ContentType="application/vnd.openxmlformats-officedocument.themeOverride+xml"/>
  <Override PartName="/xl/charts/chart54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theme/themeOverride54.xml" ContentType="application/vnd.openxmlformats-officedocument.themeOverride+xml"/>
  <Override PartName="/xl/charts/chart55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theme/themeOverride55.xml" ContentType="application/vnd.openxmlformats-officedocument.themeOverride+xml"/>
  <Override PartName="/xl/charts/chart56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theme/themeOverride56.xml" ContentType="application/vnd.openxmlformats-officedocument.themeOverride+xml"/>
  <Override PartName="/xl/charts/chart57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theme/themeOverride57.xml" ContentType="application/vnd.openxmlformats-officedocument.themeOverride+xml"/>
  <Override PartName="/xl/charts/chart58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theme/themeOverride58.xml" ContentType="application/vnd.openxmlformats-officedocument.themeOverride+xml"/>
  <Override PartName="/xl/drawings/drawing89.xml" ContentType="application/vnd.openxmlformats-officedocument.drawing+xml"/>
  <Override PartName="/xl/charts/chart59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theme/themeOverride59.xml" ContentType="application/vnd.openxmlformats-officedocument.themeOverride+xml"/>
  <Override PartName="/xl/charts/chart60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theme/themeOverride60.xml" ContentType="application/vnd.openxmlformats-officedocument.themeOverride+xml"/>
  <Override PartName="/xl/charts/chart61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theme/themeOverride61.xml" ContentType="application/vnd.openxmlformats-officedocument.themeOverride+xml"/>
  <Override PartName="/xl/charts/chart62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theme/themeOverride62.xml" ContentType="application/vnd.openxmlformats-officedocument.themeOverride+xml"/>
  <Override PartName="/xl/charts/chart63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theme/themeOverride63.xml" ContentType="application/vnd.openxmlformats-officedocument.themeOverride+xml"/>
  <Override PartName="/xl/drawings/drawing95.xml" ContentType="application/vnd.openxmlformats-officedocument.drawing+xml"/>
  <Override PartName="/xl/drawings/drawing96.xml" ContentType="application/vnd.openxmlformats-officedocument.drawing+xml"/>
  <Override PartName="/xl/charts/chart64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theme/themeOverride64.xml" ContentType="application/vnd.openxmlformats-officedocument.themeOverride+xml"/>
  <Override PartName="/xl/charts/chart65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theme/themeOverride65.xml" ContentType="application/vnd.openxmlformats-officedocument.themeOverride+xml"/>
  <Override PartName="/xl/charts/chart66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theme/themeOverride66.xml" ContentType="application/vnd.openxmlformats-officedocument.themeOverride+xml"/>
  <Override PartName="/xl/charts/chart67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theme/themeOverride67.xml" ContentType="application/vnd.openxmlformats-officedocument.themeOverride+xml"/>
  <Override PartName="/xl/charts/chart68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theme/themeOverride68.xml" ContentType="application/vnd.openxmlformats-officedocument.themeOverride+xml"/>
  <Override PartName="/xl/drawings/drawing102.xml" ContentType="application/vnd.openxmlformats-officedocument.drawing+xml"/>
  <Override PartName="/xl/drawings/drawing103.xml" ContentType="application/vnd.openxmlformats-officedocument.drawing+xml"/>
  <Override PartName="/xl/drawings/drawing104.xml" ContentType="application/vnd.openxmlformats-officedocument.drawing+xml"/>
  <Override PartName="/xl/drawings/drawing105.xml" ContentType="application/vnd.openxmlformats-officedocument.drawing+xml"/>
  <Override PartName="/xl/drawings/drawing106.xml" ContentType="application/vnd.openxmlformats-officedocument.drawing+xml"/>
  <Override PartName="/xl/drawings/drawing107.xml" ContentType="application/vnd.openxmlformats-officedocument.drawing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71.xml" ContentType="application/vnd.openxmlformats-officedocument.drawingml.chart+xml"/>
  <Override PartName="/xl/theme/themeOverride69.xml" ContentType="application/vnd.openxmlformats-officedocument.themeOverride+xml"/>
  <Override PartName="/xl/drawings/drawing111.xml" ContentType="application/vnd.openxmlformats-officedocument.drawing+xml"/>
  <Override PartName="/xl/charts/chart72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73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drawings/drawing114.xml" ContentType="application/vnd.openxmlformats-officedocument.drawing+xml"/>
  <Override PartName="/xl/charts/chart74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75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drawings/drawing117.xml" ContentType="application/vnd.openxmlformats-officedocument.drawing+xml"/>
  <Override PartName="/xl/charts/chart76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77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drawings/drawing120.xml" ContentType="application/vnd.openxmlformats-officedocument.drawing+xml"/>
  <Override PartName="/xl/charts/chart78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9.xml" ContentType="application/vnd.openxmlformats-officedocument.drawingml.chart+xml"/>
  <Override PartName="/xl/theme/themeOverride70.xml" ContentType="application/vnd.openxmlformats-officedocument.themeOverride+xml"/>
  <Override PartName="/xl/charts/chart8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drawings/drawing124.xml" ContentType="application/vnd.openxmlformats-officedocument.drawing+xml"/>
  <Override PartName="/xl/charts/chart8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worksheets/sheet1.xml" ContentType="application/vnd.openxmlformats-officedocument.spreadsheetml.worksheet+xml"/>
  <Override PartName="/xl/charts/chart82.xml" ContentType="application/vnd.openxmlformats-officedocument.drawingml.chart+xml"/>
  <Override PartName="/xl/theme/themeOverride71.xml" ContentType="application/vnd.openxmlformats-officedocument.themeOverride+xml"/>
  <Override PartName="/xl/worksheets/sheet2.xml" ContentType="application/vnd.openxmlformats-officedocument.spreadsheetml.worksheet+xml"/>
  <Override PartName="/xl/charts/chart83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worksheets/sheet3.xml" ContentType="application/vnd.openxmlformats-officedocument.spreadsheetml.worksheet+xml"/>
  <Override PartName="/xl/drawings/drawing128.xml" ContentType="application/vnd.openxmlformats-officedocument.drawing+xml"/>
  <Override PartName="/xl/charts/chart84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worksheets/sheet4.xml" ContentType="application/vnd.openxmlformats-officedocument.spreadsheetml.worksheet+xml"/>
  <Override PartName="/xl/charts/chart85.xml" ContentType="application/vnd.openxmlformats-officedocument.drawingml.chart+xml"/>
  <Override PartName="/xl/theme/themeOverride72.xml" ContentType="application/vnd.openxmlformats-officedocument.themeOverride+xml"/>
  <Override PartName="/xl/worksheets/sheet5.xml" ContentType="application/vnd.openxmlformats-officedocument.spreadsheetml.worksheet+xml"/>
  <Override PartName="/xl/charts/chart86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worksheets/sheet6.xml" ContentType="application/vnd.openxmlformats-officedocument.spreadsheetml.worksheet+xml"/>
  <Override PartName="/xl/drawings/drawing132.xml" ContentType="application/vnd.openxmlformats-officedocument.drawing+xml"/>
  <Override PartName="/xl/charts/chart87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theme/themeOverride73.xml" ContentType="application/vnd.openxmlformats-officedocument.themeOverride+xml"/>
  <Override PartName="/xl/worksheets/sheet7.xml" ContentType="application/vnd.openxmlformats-officedocument.spreadsheetml.worksheet+xml"/>
  <Override PartName="/xl/drawings/drawing134.xml" ContentType="application/vnd.openxmlformats-officedocument.drawing+xml"/>
  <Override PartName="/xl/charts/chart88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theme/themeOverride74.xml" ContentType="application/vnd.openxmlformats-officedocument.themeOverride+xml"/>
  <Override PartName="/xl/worksheets/sheet8.xml" ContentType="application/vnd.openxmlformats-officedocument.spreadsheetml.worksheet+xml"/>
  <Override PartName="/xl/drawings/drawing136.xml" ContentType="application/vnd.openxmlformats-officedocument.drawing+xml"/>
  <Override PartName="/xl/charts/chart89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theme/themeOverride75.xml" ContentType="application/vnd.openxmlformats-officedocument.themeOverride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turismodetenerife.sharepoint.com/sites/INVESTIGACION/Documentos compartidos/General/Encuesta Alojam Turísticos (ISTAC)/2025/Municipios/septiembre/"/>
    </mc:Choice>
  </mc:AlternateContent>
  <xr:revisionPtr revIDLastSave="0" documentId="8_{D2968D9C-434E-458B-A464-C9A16B41EB23}" xr6:coauthVersionLast="47" xr6:coauthVersionMax="47" xr10:uidLastSave="{00000000-0000-0000-0000-000000000000}"/>
  <bookViews>
    <workbookView xWindow="-28920" yWindow="660" windowWidth="29040" windowHeight="15720" xr2:uid="{871A4194-F789-498F-9BDF-0F81F913D518}"/>
  </bookViews>
  <sheets>
    <sheet name="Menú principal" sheetId="1" r:id="rId1"/>
    <sheet name="Resumen indicadores (aloj)" sheetId="2" r:id="rId2"/>
    <sheet name="Resumen indicadores municipios " sheetId="3" r:id="rId3"/>
    <sheet name="Oferta alojativa" sheetId="4" r:id="rId4"/>
    <sheet name="Plazas aloj islas cat y tipolog" sheetId="5" r:id="rId5"/>
    <sheet name="Establecim aloj islas cat y tip" sheetId="6" r:id="rId6"/>
    <sheet name="viajeros entrados" sheetId="7" r:id="rId7"/>
    <sheet name="Viajeros entr evol mensu TF" sheetId="8" r:id="rId8"/>
    <sheet name="Viajeros entr evol mensu TF15-2" sheetId="9" r:id="rId9"/>
    <sheet name="Viajeros entr evol mensu TF cat" sheetId="10" r:id="rId10"/>
    <sheet name="Viajeros entr evol anual TF cat" sheetId="11" r:id="rId11"/>
    <sheet name="Viajeros entr ti-cat ultimo mes" sheetId="12" r:id="rId12"/>
    <sheet name="viaj entrados lugar resid años " sheetId="13" r:id="rId13"/>
    <sheet name="viaj entrados lugar residencia" sheetId="14" r:id="rId14"/>
    <sheet name="viaj entrados lugar residen acu" sheetId="15" r:id="rId15"/>
    <sheet name="viaj entrados lugar residen hot" sheetId="16" r:id="rId16"/>
    <sheet name="viaj entrados lugar residen apt" sheetId="17" r:id="rId17"/>
    <sheet name="viaj entrados lugar residen cat" sheetId="18" r:id="rId18"/>
    <sheet name="viaj entr lugar res año categor" sheetId="19" r:id="rId19"/>
    <sheet name="viajeros alojados" sheetId="20" r:id="rId20"/>
    <sheet name="viaj aloj lugar residen mes" sheetId="21" r:id="rId21"/>
    <sheet name="viaj alojados lugar residen acu" sheetId="22" r:id="rId22"/>
    <sheet name="Pernoctaciones" sheetId="23" r:id="rId23"/>
    <sheet name="Pernoctaciones evol mensu TF" sheetId="24" r:id="rId24"/>
    <sheet name="Pernocta evol mensu TF cat" sheetId="25" r:id="rId25"/>
    <sheet name="Pernoctaciones lugar reside" sheetId="26" r:id="rId26"/>
    <sheet name="Pernoctaciones lugar residen ac" sheetId="27" r:id="rId27"/>
    <sheet name="Pernoctaciones lugar reside año" sheetId="28" r:id="rId28"/>
    <sheet name="Estancia media" sheetId="29" r:id="rId29"/>
    <sheet name="EM evol menusual lugar resd" sheetId="30" r:id="rId30"/>
    <sheet name="EM evol mensu TF cat " sheetId="31" r:id="rId31"/>
    <sheet name="Tasa de ocupación" sheetId="32" r:id="rId32"/>
    <sheet name="tasa de ocupación evol mens" sheetId="33" r:id="rId33"/>
    <sheet name="indicadores rentabilidad" sheetId="34" r:id="rId34"/>
    <sheet name="ADR RevPAR ingresos totales ult" sheetId="35" r:id="rId35"/>
    <sheet name="ADR municipios" sheetId="36" r:id="rId36"/>
    <sheet name="RevPAR  municipios" sheetId="37" r:id="rId37"/>
    <sheet name="viajeros españoles" sheetId="38" r:id="rId38"/>
    <sheet name="distribución españoles x Resid" sheetId="39" r:id="rId39"/>
    <sheet name="distribución españoles x cate" sheetId="40" r:id="rId40"/>
    <sheet name="distribución peninsulare x cate" sheetId="41" r:id="rId41"/>
    <sheet name="distribución canarios x cate" sheetId="42" r:id="rId42"/>
    <sheet name="distribución españoles x mun al" sheetId="43" r:id="rId43"/>
    <sheet name="distribución peninsula x munici" sheetId="44" r:id="rId44"/>
    <sheet name="distribución canarias x munici" sheetId="45" r:id="rId45"/>
    <sheet name="evolución anual viaj ent españo" sheetId="46" r:id="rId46"/>
    <sheet name="evolución anual viaj ent penins" sheetId="47" r:id="rId47"/>
    <sheet name="evolución anual viaj ent canari" sheetId="48" r:id="rId48"/>
  </sheets>
  <definedNames>
    <definedName name="_xlnm.Print_Area" localSheetId="44">'distribución canarias x munici'!$B$3:$AB$37</definedName>
    <definedName name="_xlnm.Print_Area" localSheetId="41">'distribución canarios x cate'!$B$3:$AB$33</definedName>
    <definedName name="_xlnm.Print_Area" localSheetId="39">'distribución españoles x cate'!$B$3:$AB$33</definedName>
    <definedName name="_xlnm.Print_Area" localSheetId="42">'distribución españoles x mun al'!$B$3:$AB$37</definedName>
    <definedName name="_xlnm.Print_Area" localSheetId="38">'distribución españoles x Resid'!$B$3:$AB$32</definedName>
    <definedName name="_xlnm.Print_Area" localSheetId="43">'distribución peninsula x munici'!$B$3:$AB$37</definedName>
    <definedName name="_xlnm.Print_Area" localSheetId="40">'distribución peninsulare x cate'!$B$3:$AB$33</definedName>
    <definedName name="_xlnm.Print_Area" localSheetId="25">'Pernoctaciones lugar reside'!$B$4:$K$162</definedName>
    <definedName name="_xlnm.Print_Area" localSheetId="27">'Pernoctaciones lugar reside año'!$B$4:$M$162</definedName>
    <definedName name="_xlnm.Print_Area" localSheetId="26">'Pernoctaciones lugar residen ac'!$B$3:$K$162</definedName>
    <definedName name="_xlnm.Print_Area" localSheetId="21">'viaj alojados lugar residen acu'!$B$4:$L$163</definedName>
    <definedName name="_xlnm.Print_Area" localSheetId="18">'viaj entr lugar res año categor'!$B$4:$B$164</definedName>
    <definedName name="_xlnm.Print_Area" localSheetId="12">'viaj entrados lugar resid años '!$B$3:$K$162</definedName>
    <definedName name="_xlnm.Print_Area" localSheetId="14">'viaj entrados lugar residen acu'!$B$4:$M$22</definedName>
    <definedName name="_xlnm.Print_Area" localSheetId="16">'viaj entrados lugar residen apt'!$B$4:$K$22</definedName>
    <definedName name="_xlnm.Print_Area" localSheetId="17">'viaj entrados lugar residen cat'!$B$3:$B$163</definedName>
    <definedName name="_xlnm.Print_Area" localSheetId="15">'viaj entrados lugar residen hot'!$B$4:$K$22</definedName>
    <definedName name="españafuerteventura">#REF!</definedName>
    <definedName name="españafuerteventura0">#REF!</definedName>
    <definedName name="españagrancanaria">#REF!</definedName>
    <definedName name="españagrancanaria0">#REF!</definedName>
    <definedName name="españalanzarote">#REF!</definedName>
    <definedName name="españalanzarote0">#REF!</definedName>
    <definedName name="españalapalma">#REF!</definedName>
    <definedName name="españalapalma0">#REF!</definedName>
    <definedName name="españaTFN">#REF!</definedName>
    <definedName name="españaTFN0">#REF!</definedName>
    <definedName name="españaTFS">#REF!</definedName>
    <definedName name="españaTFS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5" i="45" l="1"/>
  <c r="G135" i="45"/>
  <c r="R5" i="45"/>
  <c r="N5" i="45"/>
  <c r="F5" i="45"/>
  <c r="O135" i="44"/>
  <c r="I135" i="44"/>
  <c r="G135" i="44"/>
  <c r="S5" i="44"/>
  <c r="Q5" i="44"/>
  <c r="M5" i="44"/>
  <c r="J5" i="44"/>
  <c r="I5" i="44"/>
  <c r="F5" i="44"/>
  <c r="N135" i="43"/>
  <c r="T5" i="43"/>
  <c r="Q5" i="43"/>
  <c r="I5" i="43"/>
  <c r="O133" i="42"/>
  <c r="N133" i="42"/>
  <c r="M133" i="42"/>
  <c r="K133" i="42"/>
  <c r="L133" i="42"/>
  <c r="I133" i="42"/>
  <c r="H133" i="42"/>
  <c r="P5" i="42"/>
  <c r="F5" i="42"/>
  <c r="O133" i="41"/>
  <c r="N133" i="41"/>
  <c r="I5" i="41"/>
  <c r="J5" i="41"/>
  <c r="F5" i="41"/>
  <c r="I133" i="40"/>
  <c r="T5" i="40"/>
  <c r="Q5" i="40"/>
  <c r="S5" i="40"/>
  <c r="J5" i="40"/>
  <c r="O123" i="39"/>
  <c r="N123" i="39"/>
  <c r="K123" i="39"/>
  <c r="I123" i="39"/>
  <c r="T5" i="39"/>
  <c r="M5" i="39"/>
  <c r="H5" i="39"/>
  <c r="I5" i="39"/>
  <c r="B3" i="37"/>
  <c r="B3" i="36"/>
  <c r="V29" i="35"/>
  <c r="AV7" i="35"/>
  <c r="AR7" i="35"/>
  <c r="AJ7" i="35"/>
  <c r="AL7" i="35"/>
  <c r="AB7" i="35"/>
  <c r="V7" i="35"/>
  <c r="N7" i="35"/>
  <c r="H7" i="35"/>
  <c r="M95" i="33"/>
  <c r="I73" i="33"/>
  <c r="E51" i="33"/>
  <c r="I29" i="33"/>
  <c r="J96" i="31"/>
  <c r="L96" i="31"/>
  <c r="F96" i="31"/>
  <c r="D96" i="31"/>
  <c r="L74" i="31"/>
  <c r="J74" i="31"/>
  <c r="H74" i="31"/>
  <c r="F74" i="31"/>
  <c r="D74" i="31"/>
  <c r="F52" i="31"/>
  <c r="L52" i="31"/>
  <c r="J52" i="31"/>
  <c r="H52" i="31"/>
  <c r="D52" i="31"/>
  <c r="H30" i="31"/>
  <c r="N8" i="31"/>
  <c r="J8" i="31"/>
  <c r="H8" i="31"/>
  <c r="F8" i="31"/>
  <c r="D8" i="31"/>
  <c r="L272" i="30"/>
  <c r="N272" i="30"/>
  <c r="J272" i="30"/>
  <c r="H272" i="30"/>
  <c r="F272" i="30"/>
  <c r="D272" i="30"/>
  <c r="B270" i="30"/>
  <c r="N250" i="30"/>
  <c r="L250" i="30"/>
  <c r="J250" i="30"/>
  <c r="H250" i="30"/>
  <c r="D250" i="30"/>
  <c r="B248" i="30"/>
  <c r="N228" i="30"/>
  <c r="L228" i="30"/>
  <c r="H228" i="30"/>
  <c r="F228" i="30"/>
  <c r="D228" i="30"/>
  <c r="B226" i="30"/>
  <c r="L206" i="30"/>
  <c r="H206" i="30"/>
  <c r="F206" i="30"/>
  <c r="D206" i="30"/>
  <c r="B204" i="30"/>
  <c r="L184" i="30"/>
  <c r="J184" i="30"/>
  <c r="H184" i="30"/>
  <c r="D184" i="30"/>
  <c r="B182" i="30"/>
  <c r="H162" i="30"/>
  <c r="N162" i="30"/>
  <c r="L162" i="30"/>
  <c r="D162" i="30"/>
  <c r="B160" i="30"/>
  <c r="L140" i="30"/>
  <c r="H140" i="30"/>
  <c r="D140" i="30"/>
  <c r="B138" i="30"/>
  <c r="L118" i="30"/>
  <c r="N118" i="30"/>
  <c r="H118" i="30"/>
  <c r="F118" i="30"/>
  <c r="D118" i="30"/>
  <c r="B116" i="30"/>
  <c r="F96" i="30"/>
  <c r="N96" i="30"/>
  <c r="L96" i="30"/>
  <c r="J96" i="30"/>
  <c r="D96" i="30"/>
  <c r="H74" i="30"/>
  <c r="L74" i="30"/>
  <c r="J74" i="30"/>
  <c r="F74" i="30"/>
  <c r="D74" i="30"/>
  <c r="J52" i="30"/>
  <c r="L30" i="30"/>
  <c r="J30" i="30"/>
  <c r="H30" i="30"/>
  <c r="F30" i="30"/>
  <c r="D30" i="30"/>
  <c r="N8" i="30"/>
  <c r="L8" i="30"/>
  <c r="J8" i="30"/>
  <c r="H8" i="30"/>
  <c r="F8" i="30"/>
  <c r="D8" i="30"/>
  <c r="L6" i="28"/>
  <c r="B4" i="28"/>
  <c r="K6" i="27"/>
  <c r="B3" i="27"/>
  <c r="K6" i="26"/>
  <c r="J6" i="26"/>
  <c r="B4" i="26"/>
  <c r="K95" i="25"/>
  <c r="L96" i="25" s="1"/>
  <c r="I95" i="25"/>
  <c r="M73" i="25"/>
  <c r="K73" i="25"/>
  <c r="M51" i="25"/>
  <c r="N52" i="25" s="1"/>
  <c r="E29" i="25"/>
  <c r="M95" i="25"/>
  <c r="N96" i="25" s="1"/>
  <c r="K7" i="25"/>
  <c r="K51" i="25" s="1"/>
  <c r="I7" i="25"/>
  <c r="J8" i="25" s="1"/>
  <c r="G7" i="25"/>
  <c r="E7" i="25"/>
  <c r="B252" i="24"/>
  <c r="M227" i="24"/>
  <c r="B226" i="24"/>
  <c r="B204" i="24"/>
  <c r="B182" i="24"/>
  <c r="M161" i="24"/>
  <c r="B160" i="24"/>
  <c r="B138" i="24"/>
  <c r="B116" i="24"/>
  <c r="M95" i="24"/>
  <c r="M73" i="24"/>
  <c r="M29" i="24"/>
  <c r="M205" i="24"/>
  <c r="K7" i="24"/>
  <c r="V7" i="22"/>
  <c r="L7" i="22"/>
  <c r="J7" i="22"/>
  <c r="B4" i="22"/>
  <c r="H8" i="21"/>
  <c r="B5" i="21"/>
  <c r="V7" i="19"/>
  <c r="P7" i="19"/>
  <c r="N7" i="19"/>
  <c r="J7" i="19"/>
  <c r="B4" i="19"/>
  <c r="X6" i="18"/>
  <c r="R6" i="18"/>
  <c r="J6" i="18"/>
  <c r="B3" i="18"/>
  <c r="W7" i="17"/>
  <c r="V7" i="17"/>
  <c r="J7" i="17"/>
  <c r="B4" i="17"/>
  <c r="W7" i="16"/>
  <c r="V7" i="16"/>
  <c r="B4" i="16"/>
  <c r="W7" i="15"/>
  <c r="B4" i="15"/>
  <c r="J9" i="14"/>
  <c r="B6" i="14"/>
  <c r="W6" i="13"/>
  <c r="I6" i="13"/>
  <c r="K6" i="13"/>
  <c r="B3" i="13"/>
  <c r="T5" i="12"/>
  <c r="K95" i="10"/>
  <c r="I95" i="10" s="1"/>
  <c r="K51" i="10"/>
  <c r="L52" i="10" s="1"/>
  <c r="K29" i="10"/>
  <c r="B270" i="8"/>
  <c r="B248" i="8"/>
  <c r="L228" i="8"/>
  <c r="K227" i="8"/>
  <c r="B226" i="8"/>
  <c r="B204" i="8"/>
  <c r="B182" i="8"/>
  <c r="L162" i="8"/>
  <c r="K161" i="8"/>
  <c r="B160" i="8"/>
  <c r="B138" i="8"/>
  <c r="B116" i="8"/>
  <c r="L96" i="8"/>
  <c r="K95" i="8"/>
  <c r="M73" i="8"/>
  <c r="K7" i="8"/>
  <c r="B3" i="6"/>
  <c r="W6" i="5"/>
  <c r="B3" i="5"/>
  <c r="L79" i="3"/>
  <c r="J79" i="3"/>
  <c r="K6" i="3"/>
  <c r="L58" i="2"/>
  <c r="L31" i="2"/>
  <c r="K31" i="2"/>
  <c r="J31" i="2"/>
  <c r="B39" i="1"/>
  <c r="B38" i="1"/>
  <c r="B37" i="1"/>
  <c r="M2" i="1"/>
  <c r="J229" i="30"/>
  <c r="L219" i="30"/>
  <c r="F219" i="30"/>
  <c r="J218" i="30"/>
  <c r="H217" i="30"/>
  <c r="L216" i="30"/>
  <c r="H85" i="33"/>
  <c r="J57" i="33"/>
  <c r="J43" i="33"/>
  <c r="J39" i="33"/>
  <c r="L18" i="33"/>
  <c r="J15" i="33"/>
  <c r="J12" i="33"/>
  <c r="J9" i="33"/>
  <c r="H104" i="33"/>
  <c r="J21" i="31"/>
  <c r="H20" i="31"/>
  <c r="L19" i="31"/>
  <c r="F19" i="31"/>
  <c r="J18" i="31"/>
  <c r="J17" i="31"/>
  <c r="J16" i="31"/>
  <c r="J15" i="31"/>
  <c r="J14" i="31"/>
  <c r="J13" i="31"/>
  <c r="J12" i="31"/>
  <c r="J11" i="31"/>
  <c r="J10" i="31"/>
  <c r="J9" i="31"/>
  <c r="J41" i="33"/>
  <c r="J20" i="33"/>
  <c r="F38" i="31"/>
  <c r="F35" i="31"/>
  <c r="F32" i="31"/>
  <c r="N279" i="30"/>
  <c r="N276" i="30"/>
  <c r="N273" i="30"/>
  <c r="J259" i="30"/>
  <c r="J256" i="30"/>
  <c r="J253" i="30"/>
  <c r="L236" i="30"/>
  <c r="L233" i="30"/>
  <c r="L230" i="30"/>
  <c r="F215" i="30"/>
  <c r="L213" i="30"/>
  <c r="F212" i="30"/>
  <c r="L210" i="30"/>
  <c r="F209" i="30"/>
  <c r="F208" i="30"/>
  <c r="F207" i="30"/>
  <c r="L195" i="30"/>
  <c r="J194" i="30"/>
  <c r="J193" i="30"/>
  <c r="J192" i="30"/>
  <c r="J191" i="30"/>
  <c r="J190" i="30"/>
  <c r="J189" i="30"/>
  <c r="J188" i="30"/>
  <c r="J187" i="30"/>
  <c r="J186" i="30"/>
  <c r="J185" i="30"/>
  <c r="H175" i="30"/>
  <c r="F174" i="30"/>
  <c r="N171" i="30"/>
  <c r="N170" i="30"/>
  <c r="N169" i="30"/>
  <c r="N168" i="30"/>
  <c r="N167" i="30"/>
  <c r="N166" i="30"/>
  <c r="N165" i="30"/>
  <c r="N164" i="30"/>
  <c r="N163" i="30"/>
  <c r="L153" i="30"/>
  <c r="J152" i="30"/>
  <c r="H151" i="30"/>
  <c r="F150" i="30"/>
  <c r="F149" i="30"/>
  <c r="F148" i="30"/>
  <c r="F147" i="30"/>
  <c r="F146" i="30"/>
  <c r="F145" i="30"/>
  <c r="F144" i="30"/>
  <c r="F143" i="30"/>
  <c r="F142" i="30"/>
  <c r="F141" i="30"/>
  <c r="L129" i="30"/>
  <c r="J128" i="30"/>
  <c r="J127" i="30"/>
  <c r="J126" i="30"/>
  <c r="J125" i="30"/>
  <c r="J124" i="30"/>
  <c r="J123" i="30"/>
  <c r="J122" i="30"/>
  <c r="J121" i="30"/>
  <c r="J120" i="30"/>
  <c r="F109" i="30"/>
  <c r="F108" i="30"/>
  <c r="H107" i="30"/>
  <c r="H106" i="30"/>
  <c r="J43" i="30"/>
  <c r="H42" i="30"/>
  <c r="L41" i="30"/>
  <c r="F41" i="30"/>
  <c r="J40" i="30"/>
  <c r="J39" i="30"/>
  <c r="J38" i="30"/>
  <c r="J37" i="30"/>
  <c r="J36" i="30"/>
  <c r="J35" i="30"/>
  <c r="J34" i="30"/>
  <c r="J33" i="30"/>
  <c r="J32" i="30"/>
  <c r="J31" i="30"/>
  <c r="J83" i="33"/>
  <c r="F59" i="33"/>
  <c r="L86" i="31"/>
  <c r="J82" i="31"/>
  <c r="J79" i="31"/>
  <c r="J76" i="31"/>
  <c r="L40" i="31"/>
  <c r="L37" i="31"/>
  <c r="L34" i="31"/>
  <c r="L31" i="31"/>
  <c r="F85" i="31"/>
  <c r="H282" i="30"/>
  <c r="H279" i="30"/>
  <c r="H276" i="30"/>
  <c r="H273" i="30"/>
  <c r="H262" i="30"/>
  <c r="L263" i="30"/>
  <c r="H239" i="30"/>
  <c r="F236" i="30"/>
  <c r="F233" i="30"/>
  <c r="F230" i="30"/>
  <c r="H216" i="30"/>
  <c r="N214" i="30"/>
  <c r="H213" i="30"/>
  <c r="N211" i="30"/>
  <c r="H210" i="30"/>
  <c r="L196" i="30"/>
  <c r="J195" i="30"/>
  <c r="H194" i="30"/>
  <c r="H193" i="30"/>
  <c r="H192" i="30"/>
  <c r="H191" i="30"/>
  <c r="H190" i="30"/>
  <c r="H189" i="30"/>
  <c r="H188" i="30"/>
  <c r="H187" i="30"/>
  <c r="H186" i="30"/>
  <c r="H185" i="30"/>
  <c r="F175" i="30"/>
  <c r="L172" i="30"/>
  <c r="L171" i="30"/>
  <c r="L170" i="30"/>
  <c r="L169" i="30"/>
  <c r="L168" i="30"/>
  <c r="L167" i="30"/>
  <c r="L166" i="30"/>
  <c r="L165" i="30"/>
  <c r="L164" i="30"/>
  <c r="L163" i="30"/>
  <c r="J153" i="30"/>
  <c r="H152" i="30"/>
  <c r="F151" i="30"/>
  <c r="L130" i="30"/>
  <c r="J129" i="30"/>
  <c r="H128" i="30"/>
  <c r="H127" i="30"/>
  <c r="H126" i="30"/>
  <c r="H125" i="30"/>
  <c r="H124" i="30"/>
  <c r="H123" i="30"/>
  <c r="H122" i="30"/>
  <c r="H121" i="30"/>
  <c r="H120" i="30"/>
  <c r="J119" i="30"/>
  <c r="F107" i="30"/>
  <c r="L105" i="30"/>
  <c r="F105" i="30"/>
  <c r="L104" i="30"/>
  <c r="F104" i="30"/>
  <c r="L103" i="30"/>
  <c r="F103" i="30"/>
  <c r="L102" i="30"/>
  <c r="F102" i="30"/>
  <c r="L101" i="30"/>
  <c r="F101" i="30"/>
  <c r="L100" i="30"/>
  <c r="F100" i="30"/>
  <c r="L99" i="30"/>
  <c r="F99" i="30"/>
  <c r="L98" i="30"/>
  <c r="F98" i="30"/>
  <c r="L97" i="30"/>
  <c r="F97" i="30"/>
  <c r="F64" i="30"/>
  <c r="N61" i="30"/>
  <c r="N60" i="30"/>
  <c r="N59" i="30"/>
  <c r="N58" i="30"/>
  <c r="N57" i="30"/>
  <c r="N56" i="30"/>
  <c r="N55" i="30"/>
  <c r="N54" i="30"/>
  <c r="N53" i="30"/>
  <c r="J21" i="30"/>
  <c r="H20" i="30"/>
  <c r="L19" i="30"/>
  <c r="F19" i="30"/>
  <c r="J18" i="30"/>
  <c r="J17" i="30"/>
  <c r="J16" i="30"/>
  <c r="J15" i="30"/>
  <c r="J14" i="30"/>
  <c r="J13" i="30"/>
  <c r="J12" i="30"/>
  <c r="J11" i="30"/>
  <c r="J10" i="30"/>
  <c r="J9" i="30"/>
  <c r="H31" i="33"/>
  <c r="J84" i="31"/>
  <c r="J81" i="31"/>
  <c r="J78" i="31"/>
  <c r="J75" i="31"/>
  <c r="F43" i="31"/>
  <c r="L39" i="31"/>
  <c r="L36" i="31"/>
  <c r="L33" i="31"/>
  <c r="L284" i="30"/>
  <c r="H281" i="30"/>
  <c r="H278" i="30"/>
  <c r="H275" i="30"/>
  <c r="J285" i="30"/>
  <c r="F261" i="30"/>
  <c r="L241" i="30"/>
  <c r="F238" i="30"/>
  <c r="F235" i="30"/>
  <c r="F232" i="30"/>
  <c r="F229" i="30"/>
  <c r="L218" i="30"/>
  <c r="N215" i="30"/>
  <c r="H214" i="30"/>
  <c r="N212" i="30"/>
  <c r="H211" i="30"/>
  <c r="N209" i="30"/>
  <c r="L208" i="30"/>
  <c r="L207" i="30"/>
  <c r="J197" i="30"/>
  <c r="H196" i="30"/>
  <c r="F195" i="30"/>
  <c r="L174" i="30"/>
  <c r="J173" i="30"/>
  <c r="H172" i="30"/>
  <c r="H171" i="30"/>
  <c r="H170" i="30"/>
  <c r="H169" i="30"/>
  <c r="H168" i="30"/>
  <c r="H167" i="30"/>
  <c r="H166" i="30"/>
  <c r="H165" i="30"/>
  <c r="H164" i="30"/>
  <c r="H163" i="30"/>
  <c r="F153" i="30"/>
  <c r="L150" i="30"/>
  <c r="L149" i="30"/>
  <c r="L148" i="30"/>
  <c r="L147" i="30"/>
  <c r="L146" i="30"/>
  <c r="L145" i="30"/>
  <c r="L144" i="30"/>
  <c r="L143" i="30"/>
  <c r="L142" i="30"/>
  <c r="L141" i="30"/>
  <c r="J131" i="30"/>
  <c r="H130" i="30"/>
  <c r="F129" i="30"/>
  <c r="F119" i="30"/>
  <c r="J109" i="30"/>
  <c r="L107" i="30"/>
  <c r="J105" i="30"/>
  <c r="J104" i="30"/>
  <c r="J103" i="30"/>
  <c r="J102" i="30"/>
  <c r="J101" i="30"/>
  <c r="J100" i="30"/>
  <c r="J99" i="30"/>
  <c r="J98" i="30"/>
  <c r="J97" i="30"/>
  <c r="F65" i="30"/>
  <c r="F62" i="30"/>
  <c r="F61" i="30"/>
  <c r="F60" i="30"/>
  <c r="F59" i="30"/>
  <c r="F58" i="30"/>
  <c r="F57" i="30"/>
  <c r="F56" i="30"/>
  <c r="F55" i="30"/>
  <c r="F54" i="30"/>
  <c r="F53" i="30"/>
  <c r="H21" i="30"/>
  <c r="L20" i="30"/>
  <c r="F20" i="30"/>
  <c r="J19" i="30"/>
  <c r="H18" i="30"/>
  <c r="N17" i="30"/>
  <c r="H17" i="30"/>
  <c r="N16" i="30"/>
  <c r="H16" i="30"/>
  <c r="N15" i="30"/>
  <c r="H15" i="30"/>
  <c r="N14" i="30"/>
  <c r="H14" i="30"/>
  <c r="N13" i="30"/>
  <c r="H13" i="30"/>
  <c r="N12" i="30"/>
  <c r="H12" i="30"/>
  <c r="N11" i="30"/>
  <c r="H11" i="30"/>
  <c r="N10" i="30"/>
  <c r="H10" i="30"/>
  <c r="N9" i="30"/>
  <c r="H9" i="30"/>
  <c r="F65" i="33"/>
  <c r="N97" i="33"/>
  <c r="J42" i="31"/>
  <c r="F39" i="31"/>
  <c r="F36" i="31"/>
  <c r="F33" i="31"/>
  <c r="L85" i="31"/>
  <c r="F284" i="30"/>
  <c r="N280" i="30"/>
  <c r="N277" i="30"/>
  <c r="N274" i="30"/>
  <c r="J260" i="30"/>
  <c r="J257" i="30"/>
  <c r="J254" i="30"/>
  <c r="J251" i="30"/>
  <c r="F241" i="30"/>
  <c r="L237" i="30"/>
  <c r="L234" i="30"/>
  <c r="L231" i="30"/>
  <c r="F218" i="30"/>
  <c r="L215" i="30"/>
  <c r="F214" i="30"/>
  <c r="L212" i="30"/>
  <c r="F211" i="30"/>
  <c r="L209" i="30"/>
  <c r="J208" i="30"/>
  <c r="J207" i="30"/>
  <c r="H197" i="30"/>
  <c r="F196" i="30"/>
  <c r="N193" i="30"/>
  <c r="N192" i="30"/>
  <c r="N191" i="30"/>
  <c r="N190" i="30"/>
  <c r="N189" i="30"/>
  <c r="N188" i="30"/>
  <c r="N187" i="30"/>
  <c r="N186" i="30"/>
  <c r="N185" i="30"/>
  <c r="L175" i="30"/>
  <c r="J174" i="30"/>
  <c r="H173" i="30"/>
  <c r="F172" i="30"/>
  <c r="F171" i="30"/>
  <c r="F170" i="30"/>
  <c r="F169" i="30"/>
  <c r="F168" i="30"/>
  <c r="F167" i="30"/>
  <c r="F166" i="30"/>
  <c r="F165" i="30"/>
  <c r="F164" i="30"/>
  <c r="F163" i="30"/>
  <c r="L151" i="30"/>
  <c r="J150" i="30"/>
  <c r="J149" i="30"/>
  <c r="J148" i="30"/>
  <c r="J147" i="30"/>
  <c r="J146" i="30"/>
  <c r="J145" i="30"/>
  <c r="J144" i="30"/>
  <c r="J143" i="30"/>
  <c r="J142" i="30"/>
  <c r="J141" i="30"/>
  <c r="H131" i="30"/>
  <c r="F130" i="30"/>
  <c r="N127" i="30"/>
  <c r="N126" i="30"/>
  <c r="N125" i="30"/>
  <c r="N124" i="30"/>
  <c r="N123" i="30"/>
  <c r="N122" i="30"/>
  <c r="N121" i="30"/>
  <c r="N120" i="30"/>
  <c r="N119" i="30"/>
  <c r="H109" i="30"/>
  <c r="J108" i="30"/>
  <c r="J107" i="30"/>
  <c r="L106" i="30"/>
  <c r="L43" i="30"/>
  <c r="F43" i="30"/>
  <c r="J42" i="30"/>
  <c r="H41" i="30"/>
  <c r="L40" i="30"/>
  <c r="F40" i="30"/>
  <c r="L39" i="30"/>
  <c r="F39" i="30"/>
  <c r="L38" i="30"/>
  <c r="F38" i="30"/>
  <c r="L37" i="30"/>
  <c r="F37" i="30"/>
  <c r="L36" i="30"/>
  <c r="F36" i="30"/>
  <c r="L35" i="30"/>
  <c r="F35" i="30"/>
  <c r="L34" i="30"/>
  <c r="F34" i="30"/>
  <c r="L33" i="30"/>
  <c r="F33" i="30"/>
  <c r="L32" i="30"/>
  <c r="F32" i="30"/>
  <c r="L31" i="30"/>
  <c r="F31" i="30"/>
  <c r="J83" i="31"/>
  <c r="J80" i="31"/>
  <c r="J77" i="31"/>
  <c r="L38" i="31"/>
  <c r="L35" i="31"/>
  <c r="L32" i="31"/>
  <c r="J86" i="31"/>
  <c r="J283" i="30"/>
  <c r="H280" i="30"/>
  <c r="H277" i="30"/>
  <c r="H274" i="30"/>
  <c r="J263" i="30"/>
  <c r="J240" i="30"/>
  <c r="F237" i="30"/>
  <c r="F234" i="30"/>
  <c r="F231" i="30"/>
  <c r="J217" i="30"/>
  <c r="H215" i="30"/>
  <c r="N213" i="30"/>
  <c r="H212" i="30"/>
  <c r="N210" i="30"/>
  <c r="H209" i="30"/>
  <c r="H208" i="30"/>
  <c r="H207" i="30"/>
  <c r="F197" i="30"/>
  <c r="L194" i="30"/>
  <c r="L193" i="30"/>
  <c r="L192" i="30"/>
  <c r="L191" i="30"/>
  <c r="L190" i="30"/>
  <c r="L189" i="30"/>
  <c r="L188" i="30"/>
  <c r="L187" i="30"/>
  <c r="L186" i="30"/>
  <c r="L185" i="30"/>
  <c r="J175" i="30"/>
  <c r="H174" i="30"/>
  <c r="F173" i="30"/>
  <c r="L152" i="30"/>
  <c r="J151" i="30"/>
  <c r="H150" i="30"/>
  <c r="H149" i="30"/>
  <c r="H148" i="30"/>
  <c r="H147" i="30"/>
  <c r="H146" i="30"/>
  <c r="H145" i="30"/>
  <c r="H144" i="30"/>
  <c r="H143" i="30"/>
  <c r="H142" i="30"/>
  <c r="H141" i="30"/>
  <c r="F131" i="30"/>
  <c r="L128" i="30"/>
  <c r="L127" i="30"/>
  <c r="L126" i="30"/>
  <c r="L125" i="30"/>
  <c r="L124" i="30"/>
  <c r="L123" i="30"/>
  <c r="L122" i="30"/>
  <c r="L121" i="30"/>
  <c r="L120" i="30"/>
  <c r="L119" i="30"/>
  <c r="H108" i="30"/>
  <c r="J106" i="30"/>
  <c r="N105" i="30"/>
  <c r="H105" i="30"/>
  <c r="N104" i="30"/>
  <c r="H104" i="30"/>
  <c r="N103" i="30"/>
  <c r="H103" i="30"/>
  <c r="N102" i="30"/>
  <c r="H102" i="30"/>
  <c r="N101" i="30"/>
  <c r="H101" i="30"/>
  <c r="N100" i="30"/>
  <c r="H100" i="30"/>
  <c r="N99" i="30"/>
  <c r="H99" i="30"/>
  <c r="N98" i="30"/>
  <c r="H98" i="30"/>
  <c r="N97" i="30"/>
  <c r="H97" i="30"/>
  <c r="F63" i="30"/>
  <c r="L21" i="30"/>
  <c r="F21" i="30"/>
  <c r="J20" i="30"/>
  <c r="H19" i="30"/>
  <c r="L18" i="30"/>
  <c r="F18" i="30"/>
  <c r="L17" i="30"/>
  <c r="F17" i="30"/>
  <c r="L16" i="30"/>
  <c r="F16" i="30"/>
  <c r="L15" i="30"/>
  <c r="F15" i="30"/>
  <c r="L14" i="30"/>
  <c r="F14" i="30"/>
  <c r="L13" i="30"/>
  <c r="F13" i="30"/>
  <c r="L12" i="30"/>
  <c r="F12" i="30"/>
  <c r="L11" i="30"/>
  <c r="F11" i="30"/>
  <c r="L10" i="30"/>
  <c r="F10" i="30"/>
  <c r="L9" i="30"/>
  <c r="F9" i="30"/>
  <c r="H285" i="30"/>
  <c r="F210" i="30"/>
  <c r="L197" i="30"/>
  <c r="F191" i="30"/>
  <c r="F185" i="30"/>
  <c r="J171" i="30"/>
  <c r="J165" i="30"/>
  <c r="N147" i="30"/>
  <c r="N141" i="30"/>
  <c r="H129" i="30"/>
  <c r="F123" i="30"/>
  <c r="F83" i="30"/>
  <c r="F80" i="30"/>
  <c r="F77" i="30"/>
  <c r="H87" i="30"/>
  <c r="L42" i="30"/>
  <c r="H39" i="30"/>
  <c r="H36" i="30"/>
  <c r="H33" i="30"/>
  <c r="C48" i="28"/>
  <c r="G20" i="28"/>
  <c r="L43" i="31"/>
  <c r="N281" i="30"/>
  <c r="L261" i="30"/>
  <c r="L238" i="30"/>
  <c r="H219" i="30"/>
  <c r="N208" i="30"/>
  <c r="J196" i="30"/>
  <c r="F190" i="30"/>
  <c r="J170" i="30"/>
  <c r="J164" i="30"/>
  <c r="H153" i="30"/>
  <c r="N146" i="30"/>
  <c r="F128" i="30"/>
  <c r="F122" i="30"/>
  <c r="F106" i="30"/>
  <c r="L82" i="30"/>
  <c r="L79" i="30"/>
  <c r="L76" i="30"/>
  <c r="F86" i="30"/>
  <c r="F42" i="30"/>
  <c r="N38" i="30"/>
  <c r="N35" i="30"/>
  <c r="N32" i="30"/>
  <c r="F37" i="31"/>
  <c r="N275" i="30"/>
  <c r="J255" i="30"/>
  <c r="L232" i="30"/>
  <c r="L214" i="30"/>
  <c r="F194" i="30"/>
  <c r="F188" i="30"/>
  <c r="J168" i="30"/>
  <c r="N144" i="30"/>
  <c r="F126" i="30"/>
  <c r="F120" i="30"/>
  <c r="L109" i="30"/>
  <c r="L84" i="30"/>
  <c r="L81" i="30"/>
  <c r="L78" i="30"/>
  <c r="L75" i="30"/>
  <c r="N83" i="30"/>
  <c r="N37" i="30"/>
  <c r="N34" i="30"/>
  <c r="N31" i="30"/>
  <c r="J85" i="31"/>
  <c r="F34" i="31"/>
  <c r="J252" i="30"/>
  <c r="L229" i="30"/>
  <c r="F213" i="30"/>
  <c r="F193" i="30"/>
  <c r="F187" i="30"/>
  <c r="L173" i="30"/>
  <c r="J167" i="30"/>
  <c r="N149" i="30"/>
  <c r="N143" i="30"/>
  <c r="L131" i="30"/>
  <c r="F125" i="30"/>
  <c r="H119" i="30"/>
  <c r="L108" i="30"/>
  <c r="L87" i="30"/>
  <c r="F84" i="30"/>
  <c r="F81" i="30"/>
  <c r="F78" i="30"/>
  <c r="F75" i="30"/>
  <c r="L86" i="30"/>
  <c r="H40" i="30"/>
  <c r="H37" i="30"/>
  <c r="H34" i="30"/>
  <c r="H31" i="30"/>
  <c r="C20" i="28"/>
  <c r="L102" i="33"/>
  <c r="F31" i="31"/>
  <c r="L211" i="30"/>
  <c r="F192" i="30"/>
  <c r="F186" i="30"/>
  <c r="J172" i="30"/>
  <c r="J166" i="30"/>
  <c r="N148" i="30"/>
  <c r="N142" i="30"/>
  <c r="J130" i="30"/>
  <c r="F124" i="30"/>
  <c r="F87" i="30"/>
  <c r="L83" i="30"/>
  <c r="L80" i="30"/>
  <c r="L77" i="30"/>
  <c r="H43" i="30"/>
  <c r="N39" i="30"/>
  <c r="N36" i="30"/>
  <c r="N33" i="30"/>
  <c r="L235" i="30"/>
  <c r="J169" i="30"/>
  <c r="N145" i="30"/>
  <c r="C76" i="28"/>
  <c r="F40" i="31"/>
  <c r="J163" i="30"/>
  <c r="J258" i="30"/>
  <c r="F216" i="30"/>
  <c r="F189" i="30"/>
  <c r="F82" i="30"/>
  <c r="H38" i="30"/>
  <c r="C160" i="28"/>
  <c r="N207" i="30"/>
  <c r="F127" i="30"/>
  <c r="F79" i="30"/>
  <c r="H35" i="30"/>
  <c r="N278" i="30"/>
  <c r="F152" i="30"/>
  <c r="F121" i="30"/>
  <c r="F76" i="30"/>
  <c r="H32" i="30"/>
  <c r="G48" i="28"/>
  <c r="F34" i="28"/>
  <c r="E20" i="28"/>
  <c r="C118" i="27"/>
  <c r="D20" i="27"/>
  <c r="J87" i="25"/>
  <c r="H86" i="25"/>
  <c r="F85" i="25"/>
  <c r="J84" i="25"/>
  <c r="J83" i="25"/>
  <c r="J82" i="25"/>
  <c r="J81" i="25"/>
  <c r="J80" i="25"/>
  <c r="J79" i="25"/>
  <c r="J78" i="25"/>
  <c r="J77" i="25"/>
  <c r="J76" i="25"/>
  <c r="J75" i="25"/>
  <c r="F43" i="25"/>
  <c r="J42" i="25"/>
  <c r="H41" i="25"/>
  <c r="F40" i="25"/>
  <c r="F39" i="25"/>
  <c r="F38" i="25"/>
  <c r="F37" i="25"/>
  <c r="F36" i="25"/>
  <c r="F35" i="25"/>
  <c r="F34" i="25"/>
  <c r="F33" i="25"/>
  <c r="F32" i="25"/>
  <c r="F31" i="25"/>
  <c r="J265" i="24"/>
  <c r="H264" i="24"/>
  <c r="N263" i="24"/>
  <c r="H263" i="24"/>
  <c r="N262" i="24"/>
  <c r="H262" i="24"/>
  <c r="N261" i="24"/>
  <c r="H261" i="24"/>
  <c r="N260" i="24"/>
  <c r="H260" i="24"/>
  <c r="N259" i="24"/>
  <c r="H259" i="24"/>
  <c r="N258" i="24"/>
  <c r="H258" i="24"/>
  <c r="N257" i="24"/>
  <c r="H257" i="24"/>
  <c r="N256" i="24"/>
  <c r="H256" i="24"/>
  <c r="N255" i="24"/>
  <c r="H255" i="24"/>
  <c r="L219" i="24"/>
  <c r="J218" i="24"/>
  <c r="H217" i="24"/>
  <c r="L216" i="24"/>
  <c r="L215" i="24"/>
  <c r="L214" i="24"/>
  <c r="L213" i="24"/>
  <c r="L212" i="24"/>
  <c r="L211" i="24"/>
  <c r="L210" i="24"/>
  <c r="L209" i="24"/>
  <c r="L208" i="24"/>
  <c r="L207" i="24"/>
  <c r="H197" i="24"/>
  <c r="L196" i="24"/>
  <c r="J195" i="24"/>
  <c r="H194" i="24"/>
  <c r="N193" i="24"/>
  <c r="H193" i="24"/>
  <c r="N192" i="24"/>
  <c r="H192" i="24"/>
  <c r="N191" i="24"/>
  <c r="H191" i="24"/>
  <c r="N190" i="24"/>
  <c r="H190" i="24"/>
  <c r="N189" i="24"/>
  <c r="H189" i="24"/>
  <c r="N188" i="24"/>
  <c r="H188" i="24"/>
  <c r="N187" i="24"/>
  <c r="H187" i="24"/>
  <c r="N186" i="24"/>
  <c r="H186" i="24"/>
  <c r="N185" i="24"/>
  <c r="H185" i="24"/>
  <c r="L153" i="24"/>
  <c r="J152" i="24"/>
  <c r="H151" i="24"/>
  <c r="L150" i="24"/>
  <c r="L149" i="24"/>
  <c r="L148" i="24"/>
  <c r="L147" i="24"/>
  <c r="L146" i="24"/>
  <c r="L145" i="24"/>
  <c r="L144" i="24"/>
  <c r="L143" i="24"/>
  <c r="L142" i="24"/>
  <c r="L141" i="24"/>
  <c r="H131" i="24"/>
  <c r="L130" i="24"/>
  <c r="J129" i="24"/>
  <c r="H128" i="24"/>
  <c r="N127" i="24"/>
  <c r="H127" i="24"/>
  <c r="N126" i="24"/>
  <c r="H126" i="24"/>
  <c r="C90" i="27"/>
  <c r="C34" i="26"/>
  <c r="C20" i="26"/>
  <c r="J65" i="25"/>
  <c r="H64" i="25"/>
  <c r="F63" i="25"/>
  <c r="J62" i="25"/>
  <c r="J61" i="25"/>
  <c r="H195" i="30"/>
  <c r="D48" i="27"/>
  <c r="H65" i="25"/>
  <c r="F64" i="25"/>
  <c r="J63" i="25"/>
  <c r="H62" i="25"/>
  <c r="H61" i="25"/>
  <c r="H60" i="25"/>
  <c r="H59" i="25"/>
  <c r="H58" i="25"/>
  <c r="H57" i="25"/>
  <c r="H56" i="25"/>
  <c r="H55" i="25"/>
  <c r="H54" i="25"/>
  <c r="H53" i="25"/>
  <c r="J21" i="25"/>
  <c r="H20" i="25"/>
  <c r="L19" i="25"/>
  <c r="F19" i="25"/>
  <c r="J18" i="25"/>
  <c r="J17" i="25"/>
  <c r="J16" i="25"/>
  <c r="J15" i="25"/>
  <c r="J14" i="25"/>
  <c r="J13" i="25"/>
  <c r="J12" i="25"/>
  <c r="J11" i="25"/>
  <c r="J10" i="25"/>
  <c r="J9" i="25"/>
  <c r="J43" i="24"/>
  <c r="H42" i="24"/>
  <c r="L41" i="24"/>
  <c r="J40" i="24"/>
  <c r="J39" i="24"/>
  <c r="J38" i="24"/>
  <c r="J37" i="24"/>
  <c r="J36" i="24"/>
  <c r="J35" i="24"/>
  <c r="J34" i="24"/>
  <c r="J33" i="24"/>
  <c r="J32" i="24"/>
  <c r="J31" i="24"/>
  <c r="F87" i="25"/>
  <c r="J86" i="25"/>
  <c r="H85" i="25"/>
  <c r="F84" i="25"/>
  <c r="F83" i="25"/>
  <c r="F82" i="25"/>
  <c r="F81" i="25"/>
  <c r="F80" i="25"/>
  <c r="F79" i="25"/>
  <c r="F78" i="25"/>
  <c r="F77" i="25"/>
  <c r="F76" i="25"/>
  <c r="F75" i="25"/>
  <c r="H43" i="25"/>
  <c r="F42" i="25"/>
  <c r="J41" i="25"/>
  <c r="H40" i="25"/>
  <c r="H39" i="25"/>
  <c r="H38" i="25"/>
  <c r="H37" i="25"/>
  <c r="H36" i="25"/>
  <c r="H35" i="25"/>
  <c r="H34" i="25"/>
  <c r="H33" i="25"/>
  <c r="H32" i="25"/>
  <c r="H31" i="25"/>
  <c r="J257" i="24"/>
  <c r="J256" i="24"/>
  <c r="J255" i="24"/>
  <c r="H219" i="24"/>
  <c r="L218" i="24"/>
  <c r="J217" i="24"/>
  <c r="H216" i="24"/>
  <c r="N215" i="24"/>
  <c r="H215" i="24"/>
  <c r="N214" i="24"/>
  <c r="H214" i="24"/>
  <c r="N213" i="24"/>
  <c r="H213" i="24"/>
  <c r="N212" i="24"/>
  <c r="H212" i="24"/>
  <c r="N211" i="24"/>
  <c r="H211" i="24"/>
  <c r="N210" i="24"/>
  <c r="H210" i="24"/>
  <c r="N209" i="24"/>
  <c r="H209" i="24"/>
  <c r="N208" i="24"/>
  <c r="H208" i="24"/>
  <c r="N207" i="24"/>
  <c r="H207" i="24"/>
  <c r="J197" i="24"/>
  <c r="H196" i="24"/>
  <c r="L195" i="24"/>
  <c r="J194" i="24"/>
  <c r="J193" i="24"/>
  <c r="J192" i="24"/>
  <c r="J191" i="24"/>
  <c r="J190" i="24"/>
  <c r="J189" i="24"/>
  <c r="J188" i="24"/>
  <c r="J187" i="24"/>
  <c r="J186" i="24"/>
  <c r="J185" i="24"/>
  <c r="H153" i="24"/>
  <c r="L152" i="24"/>
  <c r="J151" i="24"/>
  <c r="H150" i="24"/>
  <c r="N149" i="24"/>
  <c r="H149" i="24"/>
  <c r="N148" i="24"/>
  <c r="H148" i="24"/>
  <c r="N147" i="24"/>
  <c r="H147" i="24"/>
  <c r="N146" i="24"/>
  <c r="H146" i="24"/>
  <c r="N145" i="24"/>
  <c r="H145" i="24"/>
  <c r="N144" i="24"/>
  <c r="H144" i="24"/>
  <c r="N143" i="24"/>
  <c r="H143" i="24"/>
  <c r="N142" i="24"/>
  <c r="H142" i="24"/>
  <c r="N141" i="24"/>
  <c r="H141" i="24"/>
  <c r="J131" i="24"/>
  <c r="H130" i="24"/>
  <c r="L129" i="24"/>
  <c r="J128" i="24"/>
  <c r="J127" i="24"/>
  <c r="J126" i="24"/>
  <c r="J125" i="24"/>
  <c r="J124" i="24"/>
  <c r="J123" i="24"/>
  <c r="J122" i="24"/>
  <c r="J121" i="24"/>
  <c r="J120" i="24"/>
  <c r="J119" i="24"/>
  <c r="H85" i="30"/>
  <c r="J41" i="30"/>
  <c r="C146" i="27"/>
  <c r="F65" i="25"/>
  <c r="J64" i="25"/>
  <c r="H63" i="25"/>
  <c r="F62" i="25"/>
  <c r="F61" i="25"/>
  <c r="F60" i="25"/>
  <c r="F59" i="25"/>
  <c r="F58" i="25"/>
  <c r="F57" i="25"/>
  <c r="F56" i="25"/>
  <c r="F55" i="25"/>
  <c r="F54" i="25"/>
  <c r="F53" i="25"/>
  <c r="H21" i="25"/>
  <c r="L20" i="25"/>
  <c r="F20" i="25"/>
  <c r="J19" i="25"/>
  <c r="H18" i="25"/>
  <c r="N17" i="25"/>
  <c r="H17" i="25"/>
  <c r="N16" i="25"/>
  <c r="H16" i="25"/>
  <c r="N15" i="25"/>
  <c r="H15" i="25"/>
  <c r="N14" i="25"/>
  <c r="H14" i="25"/>
  <c r="N13" i="25"/>
  <c r="H13" i="25"/>
  <c r="N12" i="25"/>
  <c r="H12" i="25"/>
  <c r="N11" i="25"/>
  <c r="H11" i="25"/>
  <c r="N10" i="25"/>
  <c r="H10" i="25"/>
  <c r="N9" i="25"/>
  <c r="H9" i="25"/>
  <c r="H43" i="24"/>
  <c r="L42" i="24"/>
  <c r="J41" i="24"/>
  <c r="H40" i="24"/>
  <c r="N39" i="24"/>
  <c r="H39" i="24"/>
  <c r="N38" i="24"/>
  <c r="H38" i="24"/>
  <c r="N37" i="24"/>
  <c r="H37" i="24"/>
  <c r="N36" i="24"/>
  <c r="H36" i="24"/>
  <c r="N35" i="24"/>
  <c r="H35" i="24"/>
  <c r="N34" i="24"/>
  <c r="H34" i="24"/>
  <c r="N33" i="24"/>
  <c r="H33" i="24"/>
  <c r="N32" i="24"/>
  <c r="H32" i="24"/>
  <c r="N31" i="24"/>
  <c r="H31" i="24"/>
  <c r="J58" i="25"/>
  <c r="J55" i="25"/>
  <c r="H265" i="24"/>
  <c r="L263" i="24"/>
  <c r="L260" i="24"/>
  <c r="L257" i="24"/>
  <c r="H218" i="24"/>
  <c r="J216" i="24"/>
  <c r="J213" i="24"/>
  <c r="J210" i="24"/>
  <c r="J207" i="24"/>
  <c r="J196" i="24"/>
  <c r="L194" i="24"/>
  <c r="L191" i="24"/>
  <c r="L188" i="24"/>
  <c r="L185" i="24"/>
  <c r="J153" i="24"/>
  <c r="L151" i="24"/>
  <c r="J148" i="24"/>
  <c r="J145" i="24"/>
  <c r="J142" i="24"/>
  <c r="L131" i="24"/>
  <c r="L126" i="24"/>
  <c r="H125" i="24"/>
  <c r="H124" i="24"/>
  <c r="H123" i="24"/>
  <c r="H122" i="24"/>
  <c r="H121" i="24"/>
  <c r="H120" i="24"/>
  <c r="H119" i="24"/>
  <c r="J109" i="24"/>
  <c r="L108" i="24"/>
  <c r="L107" i="24"/>
  <c r="H105" i="24"/>
  <c r="J104" i="24"/>
  <c r="N103" i="24"/>
  <c r="H102" i="24"/>
  <c r="J101" i="24"/>
  <c r="N100" i="24"/>
  <c r="H99" i="24"/>
  <c r="J98" i="24"/>
  <c r="N97" i="24"/>
  <c r="H41" i="24"/>
  <c r="L39" i="24"/>
  <c r="L36" i="24"/>
  <c r="L33" i="24"/>
  <c r="H21" i="24"/>
  <c r="J20" i="24"/>
  <c r="J19" i="24"/>
  <c r="L18" i="24"/>
  <c r="N17" i="24"/>
  <c r="H16" i="24"/>
  <c r="L15" i="24"/>
  <c r="N14" i="24"/>
  <c r="H13" i="24"/>
  <c r="L12" i="24"/>
  <c r="N11" i="24"/>
  <c r="H10" i="24"/>
  <c r="L9" i="24"/>
  <c r="E35" i="22"/>
  <c r="H84" i="25"/>
  <c r="H81" i="25"/>
  <c r="H78" i="25"/>
  <c r="H75" i="25"/>
  <c r="F41" i="25"/>
  <c r="J39" i="25"/>
  <c r="J36" i="25"/>
  <c r="J33" i="25"/>
  <c r="F21" i="25"/>
  <c r="H19" i="25"/>
  <c r="L17" i="25"/>
  <c r="F16" i="25"/>
  <c r="L14" i="25"/>
  <c r="F13" i="25"/>
  <c r="L11" i="25"/>
  <c r="F10" i="25"/>
  <c r="J108" i="24"/>
  <c r="L106" i="24"/>
  <c r="L103" i="24"/>
  <c r="L100" i="24"/>
  <c r="L97" i="24"/>
  <c r="H20" i="24"/>
  <c r="J18" i="24"/>
  <c r="J15" i="24"/>
  <c r="J12" i="24"/>
  <c r="J9" i="24"/>
  <c r="H83" i="25"/>
  <c r="H80" i="25"/>
  <c r="H77" i="25"/>
  <c r="H42" i="25"/>
  <c r="J40" i="25"/>
  <c r="J37" i="25"/>
  <c r="J34" i="25"/>
  <c r="J31" i="25"/>
  <c r="J20" i="25"/>
  <c r="L18" i="25"/>
  <c r="F17" i="25"/>
  <c r="L15" i="25"/>
  <c r="F14" i="25"/>
  <c r="L12" i="25"/>
  <c r="F11" i="25"/>
  <c r="L9" i="25"/>
  <c r="N125" i="24"/>
  <c r="N124" i="24"/>
  <c r="N123" i="24"/>
  <c r="N122" i="24"/>
  <c r="N121" i="24"/>
  <c r="N120" i="24"/>
  <c r="N119" i="24"/>
  <c r="H107" i="24"/>
  <c r="L105" i="24"/>
  <c r="L102" i="24"/>
  <c r="L99" i="24"/>
  <c r="J17" i="24"/>
  <c r="J14" i="24"/>
  <c r="J11" i="24"/>
  <c r="F86" i="25"/>
  <c r="J60" i="25"/>
  <c r="J57" i="25"/>
  <c r="J54" i="25"/>
  <c r="L267" i="24"/>
  <c r="L262" i="24"/>
  <c r="L259" i="24"/>
  <c r="L256" i="24"/>
  <c r="J215" i="24"/>
  <c r="J212" i="24"/>
  <c r="J209" i="24"/>
  <c r="H195" i="24"/>
  <c r="L193" i="24"/>
  <c r="L190" i="24"/>
  <c r="L187" i="24"/>
  <c r="H152" i="24"/>
  <c r="J150" i="24"/>
  <c r="J147" i="24"/>
  <c r="J144" i="24"/>
  <c r="J141" i="24"/>
  <c r="J130" i="24"/>
  <c r="L128" i="24"/>
  <c r="H106" i="24"/>
  <c r="J105" i="24"/>
  <c r="N104" i="24"/>
  <c r="H103" i="24"/>
  <c r="J102" i="24"/>
  <c r="N101" i="24"/>
  <c r="H100" i="24"/>
  <c r="J99" i="24"/>
  <c r="N98" i="24"/>
  <c r="H97" i="24"/>
  <c r="J42" i="24"/>
  <c r="L40" i="24"/>
  <c r="L37" i="24"/>
  <c r="L34" i="24"/>
  <c r="L31" i="24"/>
  <c r="L21" i="24"/>
  <c r="L20" i="24"/>
  <c r="H17" i="24"/>
  <c r="L16" i="24"/>
  <c r="N15" i="24"/>
  <c r="H14" i="24"/>
  <c r="L13" i="24"/>
  <c r="N12" i="24"/>
  <c r="H11" i="24"/>
  <c r="L10" i="24"/>
  <c r="N9" i="24"/>
  <c r="J85" i="25"/>
  <c r="H82" i="25"/>
  <c r="H79" i="25"/>
  <c r="H76" i="25"/>
  <c r="J43" i="25"/>
  <c r="J38" i="25"/>
  <c r="J35" i="25"/>
  <c r="J32" i="25"/>
  <c r="L21" i="25"/>
  <c r="F18" i="25"/>
  <c r="L16" i="25"/>
  <c r="F15" i="25"/>
  <c r="L13" i="25"/>
  <c r="F12" i="25"/>
  <c r="L10" i="25"/>
  <c r="F9" i="25"/>
  <c r="L174" i="24"/>
  <c r="H171" i="24"/>
  <c r="N169" i="24"/>
  <c r="H168" i="24"/>
  <c r="N166" i="24"/>
  <c r="H165" i="24"/>
  <c r="N163" i="24"/>
  <c r="J219" i="24"/>
  <c r="L186" i="24"/>
  <c r="J143" i="24"/>
  <c r="L123" i="24"/>
  <c r="L120" i="24"/>
  <c r="J107" i="24"/>
  <c r="N102" i="24"/>
  <c r="J100" i="24"/>
  <c r="H98" i="24"/>
  <c r="L17" i="24"/>
  <c r="H15" i="24"/>
  <c r="N10" i="24"/>
  <c r="H91" i="22"/>
  <c r="E49" i="22"/>
  <c r="J59" i="25"/>
  <c r="L261" i="24"/>
  <c r="L217" i="24"/>
  <c r="J208" i="24"/>
  <c r="L109" i="24"/>
  <c r="L104" i="24"/>
  <c r="L32" i="24"/>
  <c r="L19" i="24"/>
  <c r="J10" i="24"/>
  <c r="H105" i="22"/>
  <c r="C91" i="22"/>
  <c r="C62" i="27"/>
  <c r="H87" i="25"/>
  <c r="J56" i="25"/>
  <c r="L258" i="24"/>
  <c r="J214" i="24"/>
  <c r="H129" i="24"/>
  <c r="L101" i="24"/>
  <c r="L43" i="24"/>
  <c r="L38" i="24"/>
  <c r="J21" i="24"/>
  <c r="J16" i="24"/>
  <c r="J266" i="24"/>
  <c r="L189" i="24"/>
  <c r="L124" i="24"/>
  <c r="L121" i="24"/>
  <c r="H108" i="24"/>
  <c r="N105" i="24"/>
  <c r="J103" i="24"/>
  <c r="H101" i="24"/>
  <c r="H18" i="24"/>
  <c r="N13" i="24"/>
  <c r="L11" i="24"/>
  <c r="H9" i="24"/>
  <c r="J53" i="25"/>
  <c r="L264" i="24"/>
  <c r="L255" i="24"/>
  <c r="J211" i="24"/>
  <c r="L197" i="24"/>
  <c r="J149" i="24"/>
  <c r="L127" i="24"/>
  <c r="L98" i="24"/>
  <c r="L35" i="24"/>
  <c r="J13" i="24"/>
  <c r="E147" i="22"/>
  <c r="G77" i="22"/>
  <c r="H49" i="22"/>
  <c r="G21" i="22"/>
  <c r="J106" i="24"/>
  <c r="C106" i="21"/>
  <c r="F64" i="21"/>
  <c r="L125" i="24"/>
  <c r="H104" i="24"/>
  <c r="H19" i="24"/>
  <c r="D105" i="22"/>
  <c r="C64" i="21"/>
  <c r="D50" i="21"/>
  <c r="J146" i="24"/>
  <c r="L119" i="24"/>
  <c r="N99" i="24"/>
  <c r="L14" i="24"/>
  <c r="F148" i="21"/>
  <c r="F120" i="21"/>
  <c r="L192" i="24"/>
  <c r="J97" i="24"/>
  <c r="H12" i="24"/>
  <c r="C35" i="22"/>
  <c r="F22" i="21"/>
  <c r="H109" i="24"/>
  <c r="P21" i="22"/>
  <c r="C49" i="22"/>
  <c r="C22" i="21"/>
  <c r="V35" i="19"/>
  <c r="V23" i="19"/>
  <c r="C63" i="17"/>
  <c r="F51" i="17"/>
  <c r="F49" i="17"/>
  <c r="C37" i="17"/>
  <c r="C35" i="17"/>
  <c r="L122" i="24"/>
  <c r="N22" i="21"/>
  <c r="N16" i="24"/>
  <c r="H119" i="22"/>
  <c r="V21" i="19"/>
  <c r="V9" i="19"/>
  <c r="U20" i="18"/>
  <c r="O20" i="18"/>
  <c r="C20" i="18"/>
  <c r="D92" i="21"/>
  <c r="V49" i="19"/>
  <c r="T106" i="18"/>
  <c r="M48" i="18"/>
  <c r="U22" i="18"/>
  <c r="E149" i="14"/>
  <c r="G135" i="14"/>
  <c r="E107" i="14"/>
  <c r="G93" i="14"/>
  <c r="E65" i="14"/>
  <c r="G51" i="14"/>
  <c r="G48" i="18"/>
  <c r="D36" i="18"/>
  <c r="O22" i="18"/>
  <c r="F23" i="17"/>
  <c r="R21" i="17"/>
  <c r="R9" i="17"/>
  <c r="D149" i="14"/>
  <c r="F135" i="14"/>
  <c r="D107" i="14"/>
  <c r="F93" i="14"/>
  <c r="D65" i="14"/>
  <c r="F51" i="14"/>
  <c r="T62" i="18"/>
  <c r="C22" i="18"/>
  <c r="N8" i="18"/>
  <c r="K148" i="18"/>
  <c r="F163" i="14"/>
  <c r="D135" i="14"/>
  <c r="F121" i="14"/>
  <c r="D93" i="14"/>
  <c r="F79" i="14"/>
  <c r="D51" i="14"/>
  <c r="N62" i="18"/>
  <c r="K50" i="18"/>
  <c r="V36" i="18"/>
  <c r="K20" i="18"/>
  <c r="G21" i="17"/>
  <c r="G9" i="17"/>
  <c r="E163" i="14"/>
  <c r="G149" i="14"/>
  <c r="E121" i="14"/>
  <c r="G107" i="14"/>
  <c r="E79" i="14"/>
  <c r="G65" i="14"/>
  <c r="E37" i="14"/>
  <c r="E50" i="18"/>
  <c r="S48" i="18"/>
  <c r="E20" i="18"/>
  <c r="G149" i="17"/>
  <c r="G119" i="17"/>
  <c r="G93" i="17"/>
  <c r="G63" i="17"/>
  <c r="G37" i="17"/>
  <c r="C21" i="17"/>
  <c r="C9" i="17"/>
  <c r="G77" i="16"/>
  <c r="D65" i="16"/>
  <c r="D63" i="16"/>
  <c r="G51" i="16"/>
  <c r="G49" i="16"/>
  <c r="D37" i="16"/>
  <c r="D35" i="16"/>
  <c r="G23" i="16"/>
  <c r="S21" i="16"/>
  <c r="D21" i="16"/>
  <c r="S9" i="16"/>
  <c r="D9" i="16"/>
  <c r="D161" i="15"/>
  <c r="C147" i="15"/>
  <c r="G119" i="15"/>
  <c r="F105" i="15"/>
  <c r="D77" i="15"/>
  <c r="C63" i="15"/>
  <c r="G35" i="15"/>
  <c r="G121" i="17"/>
  <c r="D49" i="16"/>
  <c r="D23" i="16"/>
  <c r="P9" i="16"/>
  <c r="G161" i="15"/>
  <c r="F147" i="15"/>
  <c r="D119" i="15"/>
  <c r="C105" i="15"/>
  <c r="E135" i="14"/>
  <c r="G79" i="14"/>
  <c r="G37" i="14"/>
  <c r="D23" i="14"/>
  <c r="D112" i="11"/>
  <c r="D109" i="11"/>
  <c r="D106" i="11"/>
  <c r="D103" i="11"/>
  <c r="D100" i="11"/>
  <c r="D89" i="11"/>
  <c r="D86" i="11"/>
  <c r="D83" i="11"/>
  <c r="D80" i="11"/>
  <c r="D77" i="11"/>
  <c r="O20" i="9"/>
  <c r="I20" i="9"/>
  <c r="O18" i="9"/>
  <c r="I18" i="9"/>
  <c r="O16" i="9"/>
  <c r="I16" i="9"/>
  <c r="O14" i="9"/>
  <c r="I14" i="9"/>
  <c r="O12" i="9"/>
  <c r="I12" i="9"/>
  <c r="O10" i="9"/>
  <c r="I10" i="9"/>
  <c r="H21" i="8"/>
  <c r="L20" i="8"/>
  <c r="J19" i="8"/>
  <c r="H18" i="8"/>
  <c r="N17" i="8"/>
  <c r="H17" i="8"/>
  <c r="N16" i="8"/>
  <c r="H16" i="8"/>
  <c r="N15" i="8"/>
  <c r="H15" i="8"/>
  <c r="N14" i="8"/>
  <c r="H14" i="8"/>
  <c r="N13" i="8"/>
  <c r="H13" i="8"/>
  <c r="N12" i="8"/>
  <c r="H12" i="8"/>
  <c r="N11" i="8"/>
  <c r="H11" i="8"/>
  <c r="N10" i="8"/>
  <c r="H10" i="8"/>
  <c r="N9" i="8"/>
  <c r="H9" i="8"/>
  <c r="G65" i="17"/>
  <c r="G65" i="16"/>
  <c r="G35" i="16"/>
  <c r="G9" i="16"/>
  <c r="F21" i="15"/>
  <c r="F149" i="14"/>
  <c r="D79" i="14"/>
  <c r="F37" i="14"/>
  <c r="D65" i="11"/>
  <c r="D62" i="11"/>
  <c r="D59" i="11"/>
  <c r="D56" i="11"/>
  <c r="D42" i="11"/>
  <c r="D39" i="11"/>
  <c r="D36" i="11"/>
  <c r="D33" i="11"/>
  <c r="D19" i="11"/>
  <c r="D16" i="11"/>
  <c r="D13" i="11"/>
  <c r="D10" i="11"/>
  <c r="L31" i="10"/>
  <c r="K21" i="9"/>
  <c r="E21" i="9"/>
  <c r="Q19" i="9"/>
  <c r="K19" i="9"/>
  <c r="E19" i="9"/>
  <c r="Q17" i="9"/>
  <c r="K17" i="9"/>
  <c r="E17" i="9"/>
  <c r="Q15" i="9"/>
  <c r="K15" i="9"/>
  <c r="E15" i="9"/>
  <c r="Q13" i="9"/>
  <c r="K13" i="9"/>
  <c r="E13" i="9"/>
  <c r="Q11" i="9"/>
  <c r="K11" i="9"/>
  <c r="E11" i="9"/>
  <c r="Q9" i="9"/>
  <c r="K9" i="9"/>
  <c r="E9" i="9"/>
  <c r="L43" i="8"/>
  <c r="J42" i="8"/>
  <c r="H41" i="8"/>
  <c r="L40" i="8"/>
  <c r="L39" i="8"/>
  <c r="L38" i="8"/>
  <c r="L37" i="8"/>
  <c r="L36" i="8"/>
  <c r="L35" i="8"/>
  <c r="L34" i="8"/>
  <c r="L33" i="8"/>
  <c r="L32" i="8"/>
  <c r="L31" i="8"/>
  <c r="G91" i="17"/>
  <c r="D77" i="16"/>
  <c r="D51" i="16"/>
  <c r="P21" i="16"/>
  <c r="U21" i="15"/>
  <c r="D163" i="14"/>
  <c r="F107" i="14"/>
  <c r="G23" i="14"/>
  <c r="D67" i="11"/>
  <c r="D64" i="11"/>
  <c r="D61" i="11"/>
  <c r="D58" i="11"/>
  <c r="D55" i="11"/>
  <c r="D44" i="11"/>
  <c r="D41" i="11"/>
  <c r="D38" i="11"/>
  <c r="D35" i="11"/>
  <c r="D32" i="11"/>
  <c r="D21" i="11"/>
  <c r="D18" i="11"/>
  <c r="D15" i="11"/>
  <c r="D12" i="11"/>
  <c r="D9" i="11"/>
  <c r="O21" i="9"/>
  <c r="I21" i="9"/>
  <c r="O19" i="9"/>
  <c r="I19" i="9"/>
  <c r="O17" i="9"/>
  <c r="I17" i="9"/>
  <c r="O15" i="9"/>
  <c r="I15" i="9"/>
  <c r="O13" i="9"/>
  <c r="I13" i="9"/>
  <c r="O11" i="9"/>
  <c r="I11" i="9"/>
  <c r="O9" i="9"/>
  <c r="I9" i="9"/>
  <c r="J43" i="8"/>
  <c r="H42" i="8"/>
  <c r="L41" i="8"/>
  <c r="J40" i="8"/>
  <c r="J39" i="8"/>
  <c r="J38" i="8"/>
  <c r="J37" i="8"/>
  <c r="J36" i="8"/>
  <c r="J35" i="8"/>
  <c r="J34" i="8"/>
  <c r="J33" i="8"/>
  <c r="J32" i="8"/>
  <c r="J31" i="8"/>
  <c r="V37" i="19"/>
  <c r="T8" i="18"/>
  <c r="F64" i="18"/>
  <c r="G35" i="17"/>
  <c r="G63" i="16"/>
  <c r="G37" i="16"/>
  <c r="G21" i="16"/>
  <c r="R21" i="15"/>
  <c r="G121" i="14"/>
  <c r="E51" i="14"/>
  <c r="F23" i="14"/>
  <c r="U9" i="12"/>
  <c r="D56" i="12"/>
  <c r="U6" i="12"/>
  <c r="D53" i="12"/>
  <c r="D113" i="11"/>
  <c r="D110" i="11"/>
  <c r="D107" i="11"/>
  <c r="D104" i="11"/>
  <c r="D101" i="11"/>
  <c r="D90" i="11"/>
  <c r="D87" i="11"/>
  <c r="D84" i="11"/>
  <c r="D81" i="11"/>
  <c r="D78" i="11"/>
  <c r="Q20" i="9"/>
  <c r="K20" i="9"/>
  <c r="E20" i="9"/>
  <c r="Q18" i="9"/>
  <c r="K18" i="9"/>
  <c r="E18" i="9"/>
  <c r="Q16" i="9"/>
  <c r="K16" i="9"/>
  <c r="E16" i="9"/>
  <c r="Q14" i="9"/>
  <c r="K14" i="9"/>
  <c r="E14" i="9"/>
  <c r="Q12" i="9"/>
  <c r="K12" i="9"/>
  <c r="E12" i="9"/>
  <c r="Q10" i="9"/>
  <c r="K10" i="9"/>
  <c r="E10" i="9"/>
  <c r="J21" i="8"/>
  <c r="H20" i="8"/>
  <c r="L19" i="8"/>
  <c r="J18" i="8"/>
  <c r="J17" i="8"/>
  <c r="J16" i="8"/>
  <c r="J15" i="8"/>
  <c r="J14" i="8"/>
  <c r="J13" i="8"/>
  <c r="J12" i="8"/>
  <c r="J11" i="8"/>
  <c r="J10" i="8"/>
  <c r="J9" i="8"/>
  <c r="D23" i="17"/>
  <c r="P9" i="17"/>
  <c r="G77" i="15"/>
  <c r="F63" i="15"/>
  <c r="D35" i="15"/>
  <c r="D121" i="14"/>
  <c r="F65" i="14"/>
  <c r="E23" i="14"/>
  <c r="D66" i="11"/>
  <c r="D63" i="11"/>
  <c r="D60" i="11"/>
  <c r="D57" i="11"/>
  <c r="D54" i="11"/>
  <c r="D43" i="11"/>
  <c r="D40" i="11"/>
  <c r="D37" i="11"/>
  <c r="D34" i="11"/>
  <c r="D31" i="11"/>
  <c r="D20" i="11"/>
  <c r="D17" i="11"/>
  <c r="D14" i="11"/>
  <c r="D11" i="11"/>
  <c r="D8" i="11"/>
  <c r="N33" i="10"/>
  <c r="N32" i="10"/>
  <c r="N31" i="10"/>
  <c r="M21" i="9"/>
  <c r="G21" i="9"/>
  <c r="M19" i="9"/>
  <c r="G19" i="9"/>
  <c r="M17" i="9"/>
  <c r="G17" i="9"/>
  <c r="M15" i="9"/>
  <c r="G15" i="9"/>
  <c r="M13" i="9"/>
  <c r="G13" i="9"/>
  <c r="M11" i="9"/>
  <c r="G11" i="9"/>
  <c r="M9" i="9"/>
  <c r="G9" i="9"/>
  <c r="H43" i="8"/>
  <c r="L42" i="8"/>
  <c r="J41" i="8"/>
  <c r="H40" i="8"/>
  <c r="N39" i="8"/>
  <c r="H39" i="8"/>
  <c r="N38" i="8"/>
  <c r="H38" i="8"/>
  <c r="N37" i="8"/>
  <c r="H37" i="8"/>
  <c r="N36" i="8"/>
  <c r="H36" i="8"/>
  <c r="N35" i="8"/>
  <c r="H35" i="8"/>
  <c r="N34" i="8"/>
  <c r="H34" i="8"/>
  <c r="N33" i="8"/>
  <c r="H33" i="8"/>
  <c r="N32" i="8"/>
  <c r="H32" i="8"/>
  <c r="N31" i="8"/>
  <c r="H31" i="8"/>
  <c r="D37" i="14"/>
  <c r="U12" i="12"/>
  <c r="F56" i="12"/>
  <c r="N105" i="10"/>
  <c r="N102" i="10"/>
  <c r="N99" i="10"/>
  <c r="M12" i="9"/>
  <c r="G10" i="9"/>
  <c r="L258" i="8"/>
  <c r="L255" i="8"/>
  <c r="L252" i="8"/>
  <c r="L197" i="8"/>
  <c r="N171" i="8"/>
  <c r="N168" i="8"/>
  <c r="N165" i="8"/>
  <c r="L126" i="8"/>
  <c r="L123" i="8"/>
  <c r="L120" i="8"/>
  <c r="L21" i="8"/>
  <c r="E48" i="13"/>
  <c r="D85" i="11"/>
  <c r="N98" i="10"/>
  <c r="L257" i="8"/>
  <c r="L125" i="8"/>
  <c r="H18" i="2"/>
  <c r="U10" i="12"/>
  <c r="D54" i="12"/>
  <c r="D111" i="11"/>
  <c r="D88" i="11"/>
  <c r="L108" i="10"/>
  <c r="M14" i="9"/>
  <c r="G12" i="9"/>
  <c r="L283" i="8"/>
  <c r="N235" i="8"/>
  <c r="N232" i="8"/>
  <c r="N229" i="8"/>
  <c r="L193" i="8"/>
  <c r="L190" i="8"/>
  <c r="L187" i="8"/>
  <c r="L174" i="8"/>
  <c r="L151" i="8"/>
  <c r="N103" i="8"/>
  <c r="N100" i="8"/>
  <c r="N97" i="8"/>
  <c r="L17" i="8"/>
  <c r="L14" i="8"/>
  <c r="L11" i="8"/>
  <c r="E93" i="14"/>
  <c r="E160" i="13"/>
  <c r="D108" i="11"/>
  <c r="N104" i="10"/>
  <c r="G14" i="9"/>
  <c r="L251" i="8"/>
  <c r="N170" i="8"/>
  <c r="L119" i="8"/>
  <c r="J20" i="8"/>
  <c r="C21" i="15"/>
  <c r="G163" i="14"/>
  <c r="C149" i="14"/>
  <c r="A15" i="12"/>
  <c r="D105" i="11"/>
  <c r="D82" i="11"/>
  <c r="M18" i="9"/>
  <c r="G16" i="9"/>
  <c r="L263" i="8"/>
  <c r="N237" i="8"/>
  <c r="N234" i="8"/>
  <c r="N231" i="8"/>
  <c r="L192" i="8"/>
  <c r="L189" i="8"/>
  <c r="L186" i="8"/>
  <c r="L131" i="8"/>
  <c r="N105" i="8"/>
  <c r="N102" i="8"/>
  <c r="N99" i="8"/>
  <c r="L16" i="8"/>
  <c r="L13" i="8"/>
  <c r="L10" i="8"/>
  <c r="L285" i="8"/>
  <c r="G18" i="2"/>
  <c r="N164" i="8"/>
  <c r="N259" i="8"/>
  <c r="G147" i="17"/>
  <c r="P21" i="17"/>
  <c r="A13" i="12"/>
  <c r="F53" i="12"/>
  <c r="D55" i="12"/>
  <c r="D102" i="11"/>
  <c r="D79" i="11"/>
  <c r="N103" i="10"/>
  <c r="N100" i="10"/>
  <c r="N97" i="10"/>
  <c r="N75" i="10"/>
  <c r="M20" i="9"/>
  <c r="G18" i="9"/>
  <c r="L259" i="8"/>
  <c r="L256" i="8"/>
  <c r="L253" i="8"/>
  <c r="L240" i="8"/>
  <c r="L217" i="8"/>
  <c r="N169" i="8"/>
  <c r="N166" i="8"/>
  <c r="N163" i="8"/>
  <c r="L127" i="8"/>
  <c r="L124" i="8"/>
  <c r="L121" i="8"/>
  <c r="L108" i="8"/>
  <c r="H19" i="8"/>
  <c r="G17" i="2"/>
  <c r="N101" i="10"/>
  <c r="L260" i="8"/>
  <c r="N167" i="8"/>
  <c r="L122" i="8"/>
  <c r="E132" i="13"/>
  <c r="E76" i="13"/>
  <c r="Q20" i="13"/>
  <c r="U14" i="12"/>
  <c r="A11" i="12"/>
  <c r="U7" i="12"/>
  <c r="L63" i="10"/>
  <c r="L107" i="10"/>
  <c r="G20" i="9"/>
  <c r="M10" i="9"/>
  <c r="N236" i="8"/>
  <c r="N233" i="8"/>
  <c r="N230" i="8"/>
  <c r="L194" i="8"/>
  <c r="L191" i="8"/>
  <c r="L188" i="8"/>
  <c r="L185" i="8"/>
  <c r="N104" i="8"/>
  <c r="N101" i="8"/>
  <c r="N98" i="8"/>
  <c r="L18" i="8"/>
  <c r="L15" i="8"/>
  <c r="L12" i="8"/>
  <c r="L9" i="8"/>
  <c r="F17" i="2"/>
  <c r="E104" i="13"/>
  <c r="U8" i="12"/>
  <c r="M16" i="9"/>
  <c r="L254" i="8"/>
  <c r="L128" i="8"/>
  <c r="D57" i="12" l="1"/>
  <c r="J230" i="30"/>
  <c r="J231" i="30"/>
  <c r="J232" i="30"/>
  <c r="J233" i="30"/>
  <c r="J234" i="30"/>
  <c r="J235" i="30"/>
  <c r="J236" i="30"/>
  <c r="L75" i="2"/>
  <c r="K75" i="2"/>
  <c r="J75" i="2"/>
  <c r="L144" i="3"/>
  <c r="K144" i="3"/>
  <c r="J144" i="3"/>
  <c r="L24" i="2"/>
  <c r="K24" i="2"/>
  <c r="J24" i="2"/>
  <c r="L218" i="3"/>
  <c r="K218" i="3"/>
  <c r="J218" i="3"/>
  <c r="J59" i="3"/>
  <c r="K59" i="3"/>
  <c r="M46" i="5"/>
  <c r="K46" i="5"/>
  <c r="J46" i="5"/>
  <c r="I46" i="5"/>
  <c r="L46" i="5"/>
  <c r="F42" i="2"/>
  <c r="K22" i="3"/>
  <c r="J22" i="3"/>
  <c r="L22" i="3"/>
  <c r="K34" i="3"/>
  <c r="J34" i="3"/>
  <c r="L34" i="3"/>
  <c r="K46" i="3"/>
  <c r="J46" i="3"/>
  <c r="K66" i="3"/>
  <c r="J66" i="3"/>
  <c r="L66" i="3"/>
  <c r="K72" i="3"/>
  <c r="J72" i="3"/>
  <c r="L72" i="3"/>
  <c r="K102" i="3"/>
  <c r="J102" i="3"/>
  <c r="I113" i="3"/>
  <c r="L102" i="3"/>
  <c r="K108" i="3"/>
  <c r="J108" i="3"/>
  <c r="I119" i="3"/>
  <c r="L108" i="3"/>
  <c r="K143" i="3"/>
  <c r="J143" i="3"/>
  <c r="L143" i="3"/>
  <c r="G188" i="3"/>
  <c r="E192" i="3"/>
  <c r="S30" i="5"/>
  <c r="W30" i="5"/>
  <c r="U30" i="5"/>
  <c r="V30" i="5"/>
  <c r="T30" i="5"/>
  <c r="J12" i="6"/>
  <c r="I12" i="6"/>
  <c r="K12" i="6"/>
  <c r="I33" i="14"/>
  <c r="J33" i="14"/>
  <c r="I42" i="2"/>
  <c r="K39" i="2"/>
  <c r="L39" i="2"/>
  <c r="J39" i="2"/>
  <c r="K50" i="2"/>
  <c r="L50" i="2"/>
  <c r="J50" i="2"/>
  <c r="H68" i="2"/>
  <c r="K43" i="3"/>
  <c r="J43" i="3"/>
  <c r="K49" i="3"/>
  <c r="J49" i="3"/>
  <c r="K55" i="3"/>
  <c r="J55" i="3"/>
  <c r="K61" i="3"/>
  <c r="J61" i="3"/>
  <c r="H115" i="3"/>
  <c r="H118" i="3"/>
  <c r="H121" i="3"/>
  <c r="W15" i="5"/>
  <c r="U15" i="5"/>
  <c r="S15" i="5"/>
  <c r="V15" i="5"/>
  <c r="T15" i="5"/>
  <c r="S20" i="5"/>
  <c r="W20" i="5"/>
  <c r="U20" i="5"/>
  <c r="V20" i="5"/>
  <c r="T20" i="5"/>
  <c r="S24" i="5"/>
  <c r="W24" i="5"/>
  <c r="U24" i="5"/>
  <c r="V24" i="5"/>
  <c r="T24" i="5"/>
  <c r="S28" i="5"/>
  <c r="W28" i="5"/>
  <c r="U28" i="5"/>
  <c r="V28" i="5"/>
  <c r="T28" i="5"/>
  <c r="S32" i="5"/>
  <c r="W32" i="5"/>
  <c r="U32" i="5"/>
  <c r="V32" i="5"/>
  <c r="T32" i="5"/>
  <c r="S36" i="5"/>
  <c r="W36" i="5"/>
  <c r="V36" i="5"/>
  <c r="U36" i="5"/>
  <c r="T36" i="5"/>
  <c r="S42" i="5"/>
  <c r="W42" i="5"/>
  <c r="V42" i="5"/>
  <c r="U42" i="5"/>
  <c r="T42" i="5"/>
  <c r="R27" i="6"/>
  <c r="Q27" i="6"/>
  <c r="S27" i="6"/>
  <c r="H23" i="14"/>
  <c r="J15" i="14"/>
  <c r="I15" i="14"/>
  <c r="K63" i="2"/>
  <c r="J63" i="2"/>
  <c r="L63" i="2"/>
  <c r="K10" i="3"/>
  <c r="J10" i="3"/>
  <c r="L10" i="3"/>
  <c r="K16" i="3"/>
  <c r="J16" i="3"/>
  <c r="L16" i="3"/>
  <c r="K25" i="3"/>
  <c r="J25" i="3"/>
  <c r="L25" i="3"/>
  <c r="K84" i="3"/>
  <c r="J84" i="3"/>
  <c r="L84" i="3"/>
  <c r="K96" i="3"/>
  <c r="J96" i="3"/>
  <c r="L96" i="3"/>
  <c r="K105" i="3"/>
  <c r="I116" i="3"/>
  <c r="J105" i="3"/>
  <c r="L105" i="3"/>
  <c r="E121" i="3"/>
  <c r="E186" i="3"/>
  <c r="E195" i="3"/>
  <c r="S18" i="5"/>
  <c r="W18" i="5"/>
  <c r="U18" i="5"/>
  <c r="V18" i="5"/>
  <c r="T18" i="5"/>
  <c r="S22" i="5"/>
  <c r="W22" i="5"/>
  <c r="U22" i="5"/>
  <c r="V22" i="5"/>
  <c r="T22" i="5"/>
  <c r="H42" i="2"/>
  <c r="K33" i="2"/>
  <c r="J33" i="2"/>
  <c r="L33" i="2"/>
  <c r="L36" i="2"/>
  <c r="K36" i="2"/>
  <c r="J36" i="2"/>
  <c r="R21" i="6"/>
  <c r="Q21" i="6"/>
  <c r="S21" i="6"/>
  <c r="T9" i="12"/>
  <c r="S9" i="12"/>
  <c r="V9" i="12"/>
  <c r="J13" i="14"/>
  <c r="I13" i="14"/>
  <c r="K60" i="2"/>
  <c r="J60" i="2"/>
  <c r="L60" i="2"/>
  <c r="E68" i="2"/>
  <c r="K74" i="2"/>
  <c r="J74" i="2"/>
  <c r="L74" i="2"/>
  <c r="K7" i="3"/>
  <c r="J7" i="3"/>
  <c r="L7" i="3"/>
  <c r="K13" i="3"/>
  <c r="J13" i="3"/>
  <c r="L13" i="3"/>
  <c r="K31" i="3"/>
  <c r="J31" i="3"/>
  <c r="L31" i="3"/>
  <c r="K37" i="3"/>
  <c r="J37" i="3"/>
  <c r="L37" i="3"/>
  <c r="K52" i="3"/>
  <c r="J52" i="3"/>
  <c r="K63" i="3"/>
  <c r="J63" i="3"/>
  <c r="L63" i="3"/>
  <c r="K69" i="3"/>
  <c r="J69" i="3"/>
  <c r="L69" i="3"/>
  <c r="K81" i="3"/>
  <c r="J81" i="3"/>
  <c r="L81" i="3"/>
  <c r="K87" i="3"/>
  <c r="J87" i="3"/>
  <c r="L87" i="3"/>
  <c r="K93" i="3"/>
  <c r="J93" i="3"/>
  <c r="L93" i="3"/>
  <c r="K99" i="3"/>
  <c r="J99" i="3"/>
  <c r="L99" i="3"/>
  <c r="E118" i="3"/>
  <c r="K111" i="3"/>
  <c r="I122" i="3"/>
  <c r="J111" i="3"/>
  <c r="L111" i="3"/>
  <c r="E189" i="3"/>
  <c r="G194" i="3"/>
  <c r="S26" i="5"/>
  <c r="W26" i="5"/>
  <c r="U26" i="5"/>
  <c r="V26" i="5"/>
  <c r="T26" i="5"/>
  <c r="S34" i="5"/>
  <c r="W34" i="5"/>
  <c r="U34" i="5"/>
  <c r="V34" i="5"/>
  <c r="T34" i="5"/>
  <c r="J37" i="6"/>
  <c r="I37" i="6"/>
  <c r="K37" i="6"/>
  <c r="L34" i="2"/>
  <c r="K34" i="2"/>
  <c r="J34" i="2"/>
  <c r="L37" i="2"/>
  <c r="J37" i="2"/>
  <c r="K37" i="2"/>
  <c r="L40" i="2"/>
  <c r="J40" i="2"/>
  <c r="K40" i="2"/>
  <c r="I43" i="2"/>
  <c r="L51" i="2"/>
  <c r="K51" i="2"/>
  <c r="J51" i="2"/>
  <c r="H69" i="2"/>
  <c r="K45" i="3"/>
  <c r="J45" i="3"/>
  <c r="K51" i="3"/>
  <c r="J51" i="3"/>
  <c r="J57" i="3"/>
  <c r="K57" i="3"/>
  <c r="H113" i="3"/>
  <c r="H116" i="3"/>
  <c r="H119" i="3"/>
  <c r="H122" i="3"/>
  <c r="S38" i="5"/>
  <c r="W38" i="5"/>
  <c r="V38" i="5"/>
  <c r="U38" i="5"/>
  <c r="T38" i="5"/>
  <c r="S44" i="5"/>
  <c r="W44" i="5"/>
  <c r="V44" i="5"/>
  <c r="U44" i="5"/>
  <c r="T44" i="5"/>
  <c r="R51" i="6"/>
  <c r="Q51" i="6"/>
  <c r="S51" i="6"/>
  <c r="J8" i="12"/>
  <c r="I8" i="12"/>
  <c r="L8" i="12"/>
  <c r="H55" i="12"/>
  <c r="K8" i="12"/>
  <c r="J9" i="13"/>
  <c r="I9" i="13"/>
  <c r="K9" i="13"/>
  <c r="J11" i="13"/>
  <c r="I11" i="13"/>
  <c r="K11" i="13"/>
  <c r="J13" i="13"/>
  <c r="I13" i="13"/>
  <c r="K13" i="13"/>
  <c r="J15" i="13"/>
  <c r="I15" i="13"/>
  <c r="K15" i="13"/>
  <c r="J17" i="13"/>
  <c r="I17" i="13"/>
  <c r="K17" i="13"/>
  <c r="J19" i="13"/>
  <c r="I19" i="13"/>
  <c r="K19" i="13"/>
  <c r="J22" i="13"/>
  <c r="I22" i="13"/>
  <c r="K22" i="13"/>
  <c r="J26" i="13"/>
  <c r="I26" i="13"/>
  <c r="K26" i="13"/>
  <c r="H34" i="13"/>
  <c r="J30" i="13"/>
  <c r="I30" i="13"/>
  <c r="K30" i="13"/>
  <c r="J39" i="13"/>
  <c r="I39" i="13"/>
  <c r="K39" i="13"/>
  <c r="J43" i="13"/>
  <c r="I43" i="13"/>
  <c r="K43" i="13"/>
  <c r="J47" i="13"/>
  <c r="I47" i="13"/>
  <c r="K47" i="13"/>
  <c r="J52" i="13"/>
  <c r="I52" i="13"/>
  <c r="K52" i="13"/>
  <c r="J56" i="13"/>
  <c r="I56" i="13"/>
  <c r="K56" i="13"/>
  <c r="J60" i="13"/>
  <c r="I60" i="13"/>
  <c r="K60" i="13"/>
  <c r="J65" i="13"/>
  <c r="I65" i="13"/>
  <c r="K65" i="13"/>
  <c r="J69" i="13"/>
  <c r="I69" i="13"/>
  <c r="K69" i="13"/>
  <c r="J73" i="13"/>
  <c r="I73" i="13"/>
  <c r="K73" i="13"/>
  <c r="J78" i="13"/>
  <c r="I78" i="13"/>
  <c r="K78" i="13"/>
  <c r="J82" i="13"/>
  <c r="I82" i="13"/>
  <c r="K82" i="13"/>
  <c r="H90" i="13"/>
  <c r="J86" i="13"/>
  <c r="I86" i="13"/>
  <c r="K86" i="13"/>
  <c r="J95" i="13"/>
  <c r="I95" i="13"/>
  <c r="K95" i="13"/>
  <c r="J99" i="13"/>
  <c r="I99" i="13"/>
  <c r="K99" i="13"/>
  <c r="J103" i="13"/>
  <c r="I103" i="13"/>
  <c r="K103" i="13"/>
  <c r="J108" i="13"/>
  <c r="I108" i="13"/>
  <c r="K108" i="13"/>
  <c r="J112" i="13"/>
  <c r="I112" i="13"/>
  <c r="K112" i="13"/>
  <c r="J116" i="13"/>
  <c r="I116" i="13"/>
  <c r="K116" i="13"/>
  <c r="J121" i="13"/>
  <c r="I121" i="13"/>
  <c r="K121" i="13"/>
  <c r="J125" i="13"/>
  <c r="I125" i="13"/>
  <c r="K125" i="13"/>
  <c r="J129" i="13"/>
  <c r="I129" i="13"/>
  <c r="K129" i="13"/>
  <c r="J134" i="13"/>
  <c r="I134" i="13"/>
  <c r="K134" i="13"/>
  <c r="J138" i="13"/>
  <c r="I138" i="13"/>
  <c r="K138" i="13"/>
  <c r="H146" i="13"/>
  <c r="J142" i="13"/>
  <c r="I142" i="13"/>
  <c r="K142" i="13"/>
  <c r="J151" i="13"/>
  <c r="I151" i="13"/>
  <c r="K151" i="13"/>
  <c r="J155" i="13"/>
  <c r="I155" i="13"/>
  <c r="K155" i="13"/>
  <c r="J159" i="13"/>
  <c r="I159" i="13"/>
  <c r="K159" i="13"/>
  <c r="J11" i="14"/>
  <c r="I11" i="14"/>
  <c r="K40" i="3"/>
  <c r="J40" i="3"/>
  <c r="K58" i="3"/>
  <c r="J58" i="3"/>
  <c r="R45" i="6"/>
  <c r="Q45" i="6"/>
  <c r="S45" i="6"/>
  <c r="J102" i="15"/>
  <c r="I102" i="15"/>
  <c r="M102" i="15"/>
  <c r="L102" i="15"/>
  <c r="K102" i="15"/>
  <c r="L32" i="2"/>
  <c r="K32" i="2"/>
  <c r="J32" i="2"/>
  <c r="J35" i="2"/>
  <c r="L35" i="2"/>
  <c r="K35" i="2"/>
  <c r="J38" i="2"/>
  <c r="L38" i="2"/>
  <c r="K38" i="2"/>
  <c r="K41" i="2"/>
  <c r="J41" i="2"/>
  <c r="J49" i="2"/>
  <c r="L49" i="2"/>
  <c r="K49" i="2"/>
  <c r="R14" i="6"/>
  <c r="Q14" i="6"/>
  <c r="S14" i="6"/>
  <c r="R39" i="6"/>
  <c r="Q39" i="6"/>
  <c r="S39" i="6"/>
  <c r="J19" i="14"/>
  <c r="I19" i="14"/>
  <c r="X14" i="15"/>
  <c r="W14" i="15"/>
  <c r="Y14" i="15"/>
  <c r="K66" i="2"/>
  <c r="J66" i="2"/>
  <c r="I69" i="2"/>
  <c r="L66" i="2"/>
  <c r="K19" i="3"/>
  <c r="J19" i="3"/>
  <c r="L19" i="3"/>
  <c r="K28" i="3"/>
  <c r="J28" i="3"/>
  <c r="L28" i="3"/>
  <c r="K90" i="3"/>
  <c r="J90" i="3"/>
  <c r="L90" i="3"/>
  <c r="E115" i="3"/>
  <c r="K137" i="3"/>
  <c r="J137" i="3"/>
  <c r="L137" i="3"/>
  <c r="K140" i="3"/>
  <c r="J140" i="3"/>
  <c r="L140" i="3"/>
  <c r="G191" i="3"/>
  <c r="T48" i="5"/>
  <c r="S48" i="5"/>
  <c r="W48" i="5"/>
  <c r="V48" i="5"/>
  <c r="U48" i="5"/>
  <c r="T6" i="12"/>
  <c r="S6" i="12"/>
  <c r="V6" i="12"/>
  <c r="F43" i="2"/>
  <c r="E69" i="2"/>
  <c r="L8" i="3"/>
  <c r="K8" i="3"/>
  <c r="J8" i="3"/>
  <c r="L11" i="3"/>
  <c r="K11" i="3"/>
  <c r="J11" i="3"/>
  <c r="L14" i="3"/>
  <c r="K14" i="3"/>
  <c r="J14" i="3"/>
  <c r="L17" i="3"/>
  <c r="K17" i="3"/>
  <c r="J17" i="3"/>
  <c r="L20" i="3"/>
  <c r="K20" i="3"/>
  <c r="J20" i="3"/>
  <c r="L23" i="3"/>
  <c r="K23" i="3"/>
  <c r="J23" i="3"/>
  <c r="L26" i="3"/>
  <c r="K26" i="3"/>
  <c r="J26" i="3"/>
  <c r="L29" i="3"/>
  <c r="K29" i="3"/>
  <c r="J29" i="3"/>
  <c r="L32" i="3"/>
  <c r="K32" i="3"/>
  <c r="J32" i="3"/>
  <c r="L35" i="3"/>
  <c r="K35" i="3"/>
  <c r="J35" i="3"/>
  <c r="L38" i="3"/>
  <c r="K38" i="3"/>
  <c r="J38" i="3"/>
  <c r="K42" i="3"/>
  <c r="J42" i="3"/>
  <c r="K48" i="3"/>
  <c r="J48" i="3"/>
  <c r="K54" i="3"/>
  <c r="J54" i="3"/>
  <c r="K60" i="3"/>
  <c r="J60" i="3"/>
  <c r="L64" i="3"/>
  <c r="K64" i="3"/>
  <c r="J64" i="3"/>
  <c r="L67" i="3"/>
  <c r="K67" i="3"/>
  <c r="J67" i="3"/>
  <c r="L70" i="3"/>
  <c r="K70" i="3"/>
  <c r="J70" i="3"/>
  <c r="E113" i="3"/>
  <c r="E116" i="3"/>
  <c r="E119" i="3"/>
  <c r="E122" i="3"/>
  <c r="G186" i="3"/>
  <c r="G189" i="3"/>
  <c r="G192" i="3"/>
  <c r="G195" i="3"/>
  <c r="S49" i="6"/>
  <c r="R49" i="6"/>
  <c r="Q49" i="6"/>
  <c r="R8" i="6"/>
  <c r="Q8" i="6"/>
  <c r="S8" i="6"/>
  <c r="R33" i="6"/>
  <c r="Q33" i="6"/>
  <c r="S33" i="6"/>
  <c r="T14" i="12"/>
  <c r="S14" i="12"/>
  <c r="V14" i="12"/>
  <c r="J8" i="13"/>
  <c r="I8" i="13"/>
  <c r="K8" i="13"/>
  <c r="J10" i="13"/>
  <c r="I10" i="13"/>
  <c r="K10" i="13"/>
  <c r="J12" i="13"/>
  <c r="I12" i="13"/>
  <c r="K12" i="13"/>
  <c r="H20" i="13"/>
  <c r="J14" i="13"/>
  <c r="I14" i="13"/>
  <c r="K14" i="13"/>
  <c r="J16" i="13"/>
  <c r="I16" i="13"/>
  <c r="K16" i="13"/>
  <c r="J18" i="13"/>
  <c r="I18" i="13"/>
  <c r="K18" i="13"/>
  <c r="J24" i="13"/>
  <c r="I24" i="13"/>
  <c r="K24" i="13"/>
  <c r="J28" i="13"/>
  <c r="I28" i="13"/>
  <c r="K28" i="13"/>
  <c r="J32" i="13"/>
  <c r="I32" i="13"/>
  <c r="K32" i="13"/>
  <c r="J37" i="13"/>
  <c r="I37" i="13"/>
  <c r="K37" i="13"/>
  <c r="J41" i="13"/>
  <c r="I41" i="13"/>
  <c r="K41" i="13"/>
  <c r="J45" i="13"/>
  <c r="I45" i="13"/>
  <c r="K45" i="13"/>
  <c r="J50" i="13"/>
  <c r="I50" i="13"/>
  <c r="K50" i="13"/>
  <c r="J54" i="13"/>
  <c r="I54" i="13"/>
  <c r="K54" i="13"/>
  <c r="H62" i="13"/>
  <c r="J58" i="13"/>
  <c r="I58" i="13"/>
  <c r="K58" i="13"/>
  <c r="J67" i="13"/>
  <c r="I67" i="13"/>
  <c r="K67" i="13"/>
  <c r="J71" i="13"/>
  <c r="I71" i="13"/>
  <c r="K71" i="13"/>
  <c r="J75" i="13"/>
  <c r="I75" i="13"/>
  <c r="K75" i="13"/>
  <c r="J80" i="13"/>
  <c r="I80" i="13"/>
  <c r="K80" i="13"/>
  <c r="J84" i="13"/>
  <c r="I84" i="13"/>
  <c r="K84" i="13"/>
  <c r="J88" i="13"/>
  <c r="I88" i="13"/>
  <c r="K88" i="13"/>
  <c r="J93" i="13"/>
  <c r="I93" i="13"/>
  <c r="K93" i="13"/>
  <c r="J97" i="13"/>
  <c r="I97" i="13"/>
  <c r="K97" i="13"/>
  <c r="J101" i="13"/>
  <c r="I101" i="13"/>
  <c r="K101" i="13"/>
  <c r="J106" i="13"/>
  <c r="I106" i="13"/>
  <c r="K106" i="13"/>
  <c r="J110" i="13"/>
  <c r="I110" i="13"/>
  <c r="K110" i="13"/>
  <c r="H118" i="13"/>
  <c r="J114" i="13"/>
  <c r="I114" i="13"/>
  <c r="K114" i="13"/>
  <c r="J123" i="13"/>
  <c r="I123" i="13"/>
  <c r="K123" i="13"/>
  <c r="J127" i="13"/>
  <c r="I127" i="13"/>
  <c r="K127" i="13"/>
  <c r="J131" i="13"/>
  <c r="I131" i="13"/>
  <c r="K131" i="13"/>
  <c r="J136" i="13"/>
  <c r="I136" i="13"/>
  <c r="K136" i="13"/>
  <c r="J140" i="13"/>
  <c r="I140" i="13"/>
  <c r="K140" i="13"/>
  <c r="J144" i="13"/>
  <c r="I144" i="13"/>
  <c r="K144" i="13"/>
  <c r="J149" i="13"/>
  <c r="I149" i="13"/>
  <c r="K149" i="13"/>
  <c r="J153" i="13"/>
  <c r="I153" i="13"/>
  <c r="K153" i="13"/>
  <c r="J157" i="13"/>
  <c r="I157" i="13"/>
  <c r="K157" i="13"/>
  <c r="J17" i="14"/>
  <c r="I17" i="14"/>
  <c r="X12" i="18"/>
  <c r="W20" i="18"/>
  <c r="J12" i="14"/>
  <c r="I12" i="14"/>
  <c r="J14" i="14"/>
  <c r="I14" i="14"/>
  <c r="J16" i="14"/>
  <c r="I16" i="14"/>
  <c r="J18" i="14"/>
  <c r="I18" i="14"/>
  <c r="J20" i="14"/>
  <c r="I20" i="14"/>
  <c r="J22" i="14"/>
  <c r="I22" i="14"/>
  <c r="J28" i="14"/>
  <c r="I28" i="14"/>
  <c r="I29" i="14"/>
  <c r="J29" i="14"/>
  <c r="H37" i="14"/>
  <c r="I39" i="14"/>
  <c r="J39" i="14"/>
  <c r="J49" i="14"/>
  <c r="I49" i="14"/>
  <c r="J59" i="14"/>
  <c r="I59" i="14"/>
  <c r="J69" i="14"/>
  <c r="I69" i="14"/>
  <c r="J78" i="14"/>
  <c r="I78" i="14"/>
  <c r="J88" i="14"/>
  <c r="I88" i="14"/>
  <c r="J98" i="14"/>
  <c r="I98" i="14"/>
  <c r="J117" i="14"/>
  <c r="I117" i="14"/>
  <c r="H135" i="14"/>
  <c r="J127" i="14"/>
  <c r="I127" i="14"/>
  <c r="J137" i="14"/>
  <c r="I137" i="14"/>
  <c r="J146" i="14"/>
  <c r="I146" i="14"/>
  <c r="J156" i="14"/>
  <c r="I156" i="14"/>
  <c r="Q17" i="18"/>
  <c r="I27" i="14"/>
  <c r="J27" i="14"/>
  <c r="I36" i="14"/>
  <c r="J36" i="14"/>
  <c r="X11" i="15"/>
  <c r="W11" i="15"/>
  <c r="Y11" i="15"/>
  <c r="J25" i="14"/>
  <c r="I25" i="14"/>
  <c r="I26" i="14"/>
  <c r="J26" i="14"/>
  <c r="J34" i="14"/>
  <c r="I34" i="14"/>
  <c r="I35" i="14"/>
  <c r="J35" i="14"/>
  <c r="H51" i="14"/>
  <c r="J43" i="14"/>
  <c r="I43" i="14"/>
  <c r="J53" i="14"/>
  <c r="I53" i="14"/>
  <c r="J62" i="14"/>
  <c r="I62" i="14"/>
  <c r="J72" i="14"/>
  <c r="I72" i="14"/>
  <c r="J82" i="14"/>
  <c r="I82" i="14"/>
  <c r="J91" i="14"/>
  <c r="I91" i="14"/>
  <c r="J101" i="14"/>
  <c r="I101" i="14"/>
  <c r="J111" i="14"/>
  <c r="I111" i="14"/>
  <c r="J120" i="14"/>
  <c r="I120" i="14"/>
  <c r="J130" i="14"/>
  <c r="I130" i="14"/>
  <c r="J140" i="14"/>
  <c r="I140" i="14"/>
  <c r="J159" i="14"/>
  <c r="I159" i="14"/>
  <c r="X51" i="18"/>
  <c r="W50" i="18"/>
  <c r="I94" i="18"/>
  <c r="Q154" i="18"/>
  <c r="I31" i="14"/>
  <c r="J31" i="14"/>
  <c r="I32" i="14"/>
  <c r="J32" i="14"/>
  <c r="J40" i="14"/>
  <c r="I40" i="14"/>
  <c r="J46" i="14"/>
  <c r="I46" i="14"/>
  <c r="J56" i="14"/>
  <c r="I56" i="14"/>
  <c r="J75" i="14"/>
  <c r="I75" i="14"/>
  <c r="H93" i="14"/>
  <c r="J85" i="14"/>
  <c r="I85" i="14"/>
  <c r="J95" i="14"/>
  <c r="I95" i="14"/>
  <c r="J104" i="14"/>
  <c r="I104" i="14"/>
  <c r="J114" i="14"/>
  <c r="I114" i="14"/>
  <c r="J124" i="14"/>
  <c r="I124" i="14"/>
  <c r="J133" i="14"/>
  <c r="I133" i="14"/>
  <c r="J143" i="14"/>
  <c r="I143" i="14"/>
  <c r="J153" i="14"/>
  <c r="I153" i="14"/>
  <c r="J162" i="14"/>
  <c r="I162" i="14"/>
  <c r="W19" i="15"/>
  <c r="Y19" i="15"/>
  <c r="X19" i="15"/>
  <c r="I30" i="14"/>
  <c r="J30" i="14"/>
  <c r="X17" i="15"/>
  <c r="W17" i="15"/>
  <c r="Y17" i="15"/>
  <c r="Q56" i="18"/>
  <c r="J126" i="18"/>
  <c r="I126" i="18"/>
  <c r="I15" i="18"/>
  <c r="X31" i="18"/>
  <c r="Q37" i="18"/>
  <c r="P36" i="18"/>
  <c r="I54" i="18"/>
  <c r="H62" i="18"/>
  <c r="X149" i="18"/>
  <c r="W148" i="18"/>
  <c r="I94" i="19"/>
  <c r="H94" i="19"/>
  <c r="G93" i="19"/>
  <c r="I123" i="19"/>
  <c r="H123" i="19"/>
  <c r="I152" i="19"/>
  <c r="H152" i="19"/>
  <c r="Q135" i="18"/>
  <c r="P134" i="18"/>
  <c r="X123" i="18"/>
  <c r="J9" i="18"/>
  <c r="I9" i="18"/>
  <c r="H8" i="18"/>
  <c r="J47" i="18" s="1"/>
  <c r="X25" i="18"/>
  <c r="Q30" i="18"/>
  <c r="I47" i="18"/>
  <c r="X110" i="18"/>
  <c r="W118" i="18"/>
  <c r="I35" i="21"/>
  <c r="H35" i="21"/>
  <c r="I41" i="14"/>
  <c r="J41" i="14"/>
  <c r="J44" i="14"/>
  <c r="I44" i="14"/>
  <c r="J47" i="14"/>
  <c r="I47" i="14"/>
  <c r="J50" i="14"/>
  <c r="I50" i="14"/>
  <c r="J54" i="14"/>
  <c r="I54" i="14"/>
  <c r="J57" i="14"/>
  <c r="H65" i="14"/>
  <c r="I57" i="14"/>
  <c r="J60" i="14"/>
  <c r="I60" i="14"/>
  <c r="J63" i="14"/>
  <c r="I63" i="14"/>
  <c r="J67" i="14"/>
  <c r="I67" i="14"/>
  <c r="J70" i="14"/>
  <c r="I70" i="14"/>
  <c r="J73" i="14"/>
  <c r="I73" i="14"/>
  <c r="J76" i="14"/>
  <c r="I76" i="14"/>
  <c r="J83" i="14"/>
  <c r="I83" i="14"/>
  <c r="J86" i="14"/>
  <c r="I86" i="14"/>
  <c r="J89" i="14"/>
  <c r="I89" i="14"/>
  <c r="J92" i="14"/>
  <c r="I92" i="14"/>
  <c r="J96" i="14"/>
  <c r="I96" i="14"/>
  <c r="J99" i="14"/>
  <c r="H107" i="14"/>
  <c r="I99" i="14"/>
  <c r="J102" i="14"/>
  <c r="I102" i="14"/>
  <c r="J105" i="14"/>
  <c r="I105" i="14"/>
  <c r="J109" i="14"/>
  <c r="I109" i="14"/>
  <c r="J112" i="14"/>
  <c r="I112" i="14"/>
  <c r="J115" i="14"/>
  <c r="I115" i="14"/>
  <c r="J118" i="14"/>
  <c r="I118" i="14"/>
  <c r="J125" i="14"/>
  <c r="I125" i="14"/>
  <c r="J128" i="14"/>
  <c r="I128" i="14"/>
  <c r="J131" i="14"/>
  <c r="I131" i="14"/>
  <c r="J134" i="14"/>
  <c r="I134" i="14"/>
  <c r="J138" i="14"/>
  <c r="I138" i="14"/>
  <c r="J141" i="14"/>
  <c r="I141" i="14"/>
  <c r="H149" i="14"/>
  <c r="J144" i="14"/>
  <c r="I144" i="14"/>
  <c r="J147" i="14"/>
  <c r="I147" i="14"/>
  <c r="J151" i="14"/>
  <c r="I151" i="14"/>
  <c r="J154" i="14"/>
  <c r="I154" i="14"/>
  <c r="J157" i="14"/>
  <c r="I157" i="14"/>
  <c r="J160" i="14"/>
  <c r="I160" i="14"/>
  <c r="X18" i="18"/>
  <c r="Q24" i="18"/>
  <c r="I41" i="18"/>
  <c r="X57" i="18"/>
  <c r="X71" i="18"/>
  <c r="I74" i="19"/>
  <c r="H74" i="19"/>
  <c r="I103" i="19"/>
  <c r="H103" i="19"/>
  <c r="I132" i="19"/>
  <c r="H132" i="19"/>
  <c r="I42" i="14"/>
  <c r="J42" i="14"/>
  <c r="I45" i="14"/>
  <c r="J45" i="14"/>
  <c r="I48" i="14"/>
  <c r="J48" i="14"/>
  <c r="I55" i="14"/>
  <c r="J55" i="14"/>
  <c r="I58" i="14"/>
  <c r="J58" i="14"/>
  <c r="I61" i="14"/>
  <c r="J61" i="14"/>
  <c r="I64" i="14"/>
  <c r="J64" i="14"/>
  <c r="I68" i="14"/>
  <c r="J68" i="14"/>
  <c r="I71" i="14"/>
  <c r="H79" i="14"/>
  <c r="J71" i="14"/>
  <c r="I74" i="14"/>
  <c r="J74" i="14"/>
  <c r="I77" i="14"/>
  <c r="J77" i="14"/>
  <c r="I81" i="14"/>
  <c r="J81" i="14"/>
  <c r="I84" i="14"/>
  <c r="J84" i="14"/>
  <c r="I87" i="14"/>
  <c r="J87" i="14"/>
  <c r="I90" i="14"/>
  <c r="J90" i="14"/>
  <c r="I97" i="14"/>
  <c r="J97" i="14"/>
  <c r="I100" i="14"/>
  <c r="J100" i="14"/>
  <c r="I103" i="14"/>
  <c r="J103" i="14"/>
  <c r="I106" i="14"/>
  <c r="J106" i="14"/>
  <c r="I110" i="14"/>
  <c r="J110" i="14"/>
  <c r="I113" i="14"/>
  <c r="H121" i="14"/>
  <c r="J113" i="14"/>
  <c r="I116" i="14"/>
  <c r="J116" i="14"/>
  <c r="I119" i="14"/>
  <c r="J119" i="14"/>
  <c r="I123" i="14"/>
  <c r="J123" i="14"/>
  <c r="I126" i="14"/>
  <c r="J126" i="14"/>
  <c r="I129" i="14"/>
  <c r="J129" i="14"/>
  <c r="I132" i="14"/>
  <c r="J132" i="14"/>
  <c r="I139" i="14"/>
  <c r="J139" i="14"/>
  <c r="I142" i="14"/>
  <c r="J142" i="14"/>
  <c r="I145" i="14"/>
  <c r="J145" i="14"/>
  <c r="I148" i="14"/>
  <c r="J148" i="14"/>
  <c r="I152" i="14"/>
  <c r="J152" i="14"/>
  <c r="I155" i="14"/>
  <c r="H163" i="14"/>
  <c r="J155" i="14"/>
  <c r="I158" i="14"/>
  <c r="J158" i="14"/>
  <c r="I161" i="14"/>
  <c r="J161" i="14"/>
  <c r="Q11" i="18"/>
  <c r="I28" i="18"/>
  <c r="X44" i="18"/>
  <c r="Q115" i="18"/>
  <c r="I55" i="19"/>
  <c r="H55" i="19"/>
  <c r="G63" i="19"/>
  <c r="I84" i="19"/>
  <c r="H84" i="19"/>
  <c r="I113" i="19"/>
  <c r="H113" i="19"/>
  <c r="I142" i="19"/>
  <c r="H142" i="19"/>
  <c r="H96" i="21"/>
  <c r="I96" i="21"/>
  <c r="J21" i="14"/>
  <c r="I21" i="14"/>
  <c r="X38" i="18"/>
  <c r="Q43" i="18"/>
  <c r="J60" i="18"/>
  <c r="I60" i="18"/>
  <c r="I159" i="19"/>
  <c r="H159" i="19"/>
  <c r="I11" i="18"/>
  <c r="J11" i="18"/>
  <c r="X14" i="18"/>
  <c r="I48" i="19"/>
  <c r="H48" i="19"/>
  <c r="I58" i="19"/>
  <c r="H58" i="19"/>
  <c r="I68" i="19"/>
  <c r="H68" i="19"/>
  <c r="I87" i="19"/>
  <c r="H87" i="19"/>
  <c r="I97" i="19"/>
  <c r="H97" i="19"/>
  <c r="G105" i="19"/>
  <c r="I116" i="19"/>
  <c r="H116" i="19"/>
  <c r="I126" i="19"/>
  <c r="H126" i="19"/>
  <c r="I136" i="19"/>
  <c r="H136" i="19"/>
  <c r="G135" i="19"/>
  <c r="I145" i="19"/>
  <c r="H145" i="19"/>
  <c r="I155" i="19"/>
  <c r="H155" i="19"/>
  <c r="R10" i="21"/>
  <c r="Q10" i="21"/>
  <c r="K20" i="22"/>
  <c r="J20" i="22"/>
  <c r="L20" i="22"/>
  <c r="R19" i="21"/>
  <c r="Q19" i="21"/>
  <c r="K30" i="22"/>
  <c r="J30" i="22"/>
  <c r="L30" i="22"/>
  <c r="I55" i="21"/>
  <c r="H55" i="21"/>
  <c r="I100" i="21"/>
  <c r="H100" i="21"/>
  <c r="X10" i="18"/>
  <c r="H47" i="19"/>
  <c r="I47" i="19"/>
  <c r="I52" i="19"/>
  <c r="H52" i="19"/>
  <c r="G51" i="19"/>
  <c r="I61" i="19"/>
  <c r="H61" i="19"/>
  <c r="I71" i="19"/>
  <c r="H71" i="19"/>
  <c r="I81" i="19"/>
  <c r="H81" i="19"/>
  <c r="I90" i="19"/>
  <c r="H90" i="19"/>
  <c r="I100" i="19"/>
  <c r="H100" i="19"/>
  <c r="I110" i="19"/>
  <c r="H110" i="19"/>
  <c r="I129" i="19"/>
  <c r="H129" i="19"/>
  <c r="I139" i="19"/>
  <c r="H139" i="19"/>
  <c r="G147" i="19"/>
  <c r="I158" i="19"/>
  <c r="H158" i="19"/>
  <c r="R16" i="21"/>
  <c r="Q16" i="21"/>
  <c r="I15" i="21"/>
  <c r="H15" i="21"/>
  <c r="I26" i="21"/>
  <c r="H26" i="21"/>
  <c r="I45" i="21"/>
  <c r="H45" i="21"/>
  <c r="I69" i="21"/>
  <c r="H69" i="21"/>
  <c r="H98" i="21"/>
  <c r="G106" i="21"/>
  <c r="I98" i="21"/>
  <c r="I127" i="21"/>
  <c r="H127" i="21"/>
  <c r="I132" i="21"/>
  <c r="H132" i="21"/>
  <c r="I145" i="21"/>
  <c r="H145" i="21"/>
  <c r="I49" i="22"/>
  <c r="L41" i="22"/>
  <c r="J41" i="22"/>
  <c r="K41" i="22"/>
  <c r="I29" i="21"/>
  <c r="H29" i="21"/>
  <c r="I48" i="21"/>
  <c r="H48" i="21"/>
  <c r="H115" i="21"/>
  <c r="I115" i="21"/>
  <c r="I119" i="21"/>
  <c r="H119" i="21"/>
  <c r="I139" i="21"/>
  <c r="H139" i="21"/>
  <c r="I158" i="21"/>
  <c r="H158" i="21"/>
  <c r="J131" i="26"/>
  <c r="I131" i="26"/>
  <c r="K131" i="26"/>
  <c r="I18" i="21"/>
  <c r="H18" i="21"/>
  <c r="I32" i="21"/>
  <c r="H32" i="21"/>
  <c r="I52" i="21"/>
  <c r="H52" i="21"/>
  <c r="I108" i="21"/>
  <c r="H108" i="21"/>
  <c r="V11" i="22"/>
  <c r="W11" i="22"/>
  <c r="X11" i="22"/>
  <c r="W14" i="22"/>
  <c r="V14" i="22"/>
  <c r="X14" i="22"/>
  <c r="K40" i="22"/>
  <c r="J40" i="22"/>
  <c r="L40" i="22"/>
  <c r="I159" i="21"/>
  <c r="H159" i="21"/>
  <c r="I12" i="21"/>
  <c r="H12" i="21"/>
  <c r="I21" i="21"/>
  <c r="H21" i="21"/>
  <c r="I39" i="21"/>
  <c r="H39" i="21"/>
  <c r="I58" i="21"/>
  <c r="H58" i="21"/>
  <c r="I88" i="21"/>
  <c r="H88" i="21"/>
  <c r="H117" i="21"/>
  <c r="I117" i="21"/>
  <c r="G50" i="21"/>
  <c r="I42" i="21"/>
  <c r="H42" i="21"/>
  <c r="I61" i="21"/>
  <c r="H61" i="21"/>
  <c r="H76" i="21"/>
  <c r="I76" i="21"/>
  <c r="I81" i="21"/>
  <c r="H81" i="21"/>
  <c r="I152" i="21"/>
  <c r="H152" i="21"/>
  <c r="K11" i="22"/>
  <c r="J11" i="22"/>
  <c r="L11" i="22"/>
  <c r="W20" i="22"/>
  <c r="V20" i="22"/>
  <c r="X20" i="22"/>
  <c r="K57" i="22"/>
  <c r="L57" i="22"/>
  <c r="J57" i="22"/>
  <c r="K86" i="22"/>
  <c r="L86" i="22"/>
  <c r="J86" i="22"/>
  <c r="K115" i="22"/>
  <c r="L115" i="22"/>
  <c r="J115" i="22"/>
  <c r="K144" i="22"/>
  <c r="L144" i="22"/>
  <c r="J144" i="22"/>
  <c r="J54" i="26"/>
  <c r="I54" i="26"/>
  <c r="K54" i="26"/>
  <c r="H62" i="26"/>
  <c r="K24" i="22"/>
  <c r="J24" i="22"/>
  <c r="L24" i="22"/>
  <c r="K33" i="22"/>
  <c r="J33" i="22"/>
  <c r="L33" i="22"/>
  <c r="J80" i="26"/>
  <c r="I80" i="26"/>
  <c r="K80" i="26"/>
  <c r="L10" i="22"/>
  <c r="K10" i="22"/>
  <c r="J10" i="22"/>
  <c r="K17" i="22"/>
  <c r="J17" i="22"/>
  <c r="L17" i="22"/>
  <c r="K67" i="22"/>
  <c r="L67" i="22"/>
  <c r="J67" i="22"/>
  <c r="K96" i="22"/>
  <c r="L96" i="22"/>
  <c r="J96" i="22"/>
  <c r="I133" i="22"/>
  <c r="K125" i="22"/>
  <c r="L125" i="22"/>
  <c r="J125" i="22"/>
  <c r="K154" i="22"/>
  <c r="L154" i="22"/>
  <c r="J154" i="22"/>
  <c r="J106" i="26"/>
  <c r="I106" i="26"/>
  <c r="K106" i="26"/>
  <c r="J14" i="22"/>
  <c r="K14" i="22"/>
  <c r="L14" i="22"/>
  <c r="K47" i="22"/>
  <c r="L47" i="22"/>
  <c r="J47" i="22"/>
  <c r="K76" i="22"/>
  <c r="L76" i="22"/>
  <c r="J76" i="22"/>
  <c r="K135" i="22"/>
  <c r="L135" i="22"/>
  <c r="J135" i="22"/>
  <c r="J157" i="26"/>
  <c r="I157" i="26"/>
  <c r="K157" i="26"/>
  <c r="L16" i="22"/>
  <c r="K16" i="22"/>
  <c r="J16" i="22"/>
  <c r="I35" i="22"/>
  <c r="K27" i="22"/>
  <c r="J27" i="22"/>
  <c r="L27" i="22"/>
  <c r="K37" i="22"/>
  <c r="J37" i="22"/>
  <c r="L37" i="22"/>
  <c r="J41" i="26"/>
  <c r="I41" i="26"/>
  <c r="K41" i="26"/>
  <c r="J67" i="26"/>
  <c r="I67" i="26"/>
  <c r="K67" i="26"/>
  <c r="J93" i="26"/>
  <c r="I93" i="26"/>
  <c r="K93" i="26"/>
  <c r="J144" i="26"/>
  <c r="I144" i="26"/>
  <c r="K144" i="26"/>
  <c r="L12" i="22"/>
  <c r="J12" i="22"/>
  <c r="K12" i="22"/>
  <c r="L18" i="22"/>
  <c r="J18" i="22"/>
  <c r="K18" i="22"/>
  <c r="L25" i="22"/>
  <c r="J25" i="22"/>
  <c r="K25" i="22"/>
  <c r="J8" i="26"/>
  <c r="I8" i="26"/>
  <c r="K8" i="26"/>
  <c r="H20" i="26"/>
  <c r="J12" i="26"/>
  <c r="I12" i="26"/>
  <c r="K12" i="26"/>
  <c r="J16" i="26"/>
  <c r="I16" i="26"/>
  <c r="K16" i="26"/>
  <c r="J45" i="26"/>
  <c r="I45" i="26"/>
  <c r="K45" i="26"/>
  <c r="J71" i="26"/>
  <c r="I71" i="26"/>
  <c r="K71" i="26"/>
  <c r="J97" i="26"/>
  <c r="I97" i="26"/>
  <c r="K97" i="26"/>
  <c r="J123" i="26"/>
  <c r="I123" i="26"/>
  <c r="K123" i="26"/>
  <c r="J149" i="26"/>
  <c r="I149" i="26"/>
  <c r="K149" i="26"/>
  <c r="J17" i="26"/>
  <c r="K17" i="26"/>
  <c r="I17" i="26"/>
  <c r="J50" i="26"/>
  <c r="I50" i="26"/>
  <c r="K50" i="26"/>
  <c r="J75" i="26"/>
  <c r="I75" i="26"/>
  <c r="K75" i="26"/>
  <c r="J101" i="26"/>
  <c r="I101" i="26"/>
  <c r="K101" i="26"/>
  <c r="J127" i="26"/>
  <c r="I127" i="26"/>
  <c r="K127" i="26"/>
  <c r="J153" i="26"/>
  <c r="I153" i="26"/>
  <c r="K153" i="26"/>
  <c r="J10" i="26"/>
  <c r="I10" i="26"/>
  <c r="K10" i="26"/>
  <c r="J14" i="26"/>
  <c r="I14" i="26"/>
  <c r="K14" i="26"/>
  <c r="J58" i="26"/>
  <c r="I58" i="26"/>
  <c r="K58" i="26"/>
  <c r="J84" i="26"/>
  <c r="I84" i="26"/>
  <c r="K84" i="26"/>
  <c r="J110" i="26"/>
  <c r="I110" i="26"/>
  <c r="K110" i="26"/>
  <c r="H118" i="26"/>
  <c r="J136" i="26"/>
  <c r="I136" i="26"/>
  <c r="K136" i="26"/>
  <c r="K46" i="27"/>
  <c r="I46" i="27"/>
  <c r="J46" i="27"/>
  <c r="L23" i="22"/>
  <c r="K23" i="22"/>
  <c r="J23" i="22"/>
  <c r="L26" i="22"/>
  <c r="K26" i="22"/>
  <c r="J26" i="22"/>
  <c r="L29" i="22"/>
  <c r="K29" i="22"/>
  <c r="J29" i="22"/>
  <c r="L32" i="22"/>
  <c r="K32" i="22"/>
  <c r="J32" i="22"/>
  <c r="L39" i="22"/>
  <c r="K39" i="22"/>
  <c r="J39" i="22"/>
  <c r="L42" i="22"/>
  <c r="K42" i="22"/>
  <c r="J42" i="22"/>
  <c r="J37" i="26"/>
  <c r="I37" i="26"/>
  <c r="K37" i="26"/>
  <c r="J88" i="26"/>
  <c r="I88" i="26"/>
  <c r="K88" i="26"/>
  <c r="J114" i="26"/>
  <c r="I114" i="26"/>
  <c r="K114" i="26"/>
  <c r="J140" i="26"/>
  <c r="I140" i="26"/>
  <c r="K140" i="26"/>
  <c r="J138" i="28"/>
  <c r="I138" i="28"/>
  <c r="M138" i="28"/>
  <c r="H146" i="28"/>
  <c r="L138" i="28"/>
  <c r="K138" i="28"/>
  <c r="J15" i="28"/>
  <c r="I15" i="28"/>
  <c r="M15" i="28"/>
  <c r="L15" i="28"/>
  <c r="K15" i="28"/>
  <c r="J54" i="28"/>
  <c r="I54" i="28"/>
  <c r="M54" i="28"/>
  <c r="H62" i="28"/>
  <c r="L54" i="28"/>
  <c r="K54" i="28"/>
  <c r="J144" i="28"/>
  <c r="I144" i="28"/>
  <c r="M144" i="28"/>
  <c r="L144" i="28"/>
  <c r="K144" i="28"/>
  <c r="K8" i="27"/>
  <c r="I8" i="27"/>
  <c r="J8" i="27"/>
  <c r="K10" i="27"/>
  <c r="I10" i="27"/>
  <c r="J10" i="27"/>
  <c r="K12" i="27"/>
  <c r="I12" i="27"/>
  <c r="H20" i="27"/>
  <c r="J12" i="27"/>
  <c r="J9" i="28"/>
  <c r="I9" i="28"/>
  <c r="M9" i="28"/>
  <c r="L9" i="28"/>
  <c r="K9" i="28"/>
  <c r="J47" i="28"/>
  <c r="I47" i="28"/>
  <c r="M47" i="28"/>
  <c r="L47" i="28"/>
  <c r="K47" i="28"/>
  <c r="J106" i="28"/>
  <c r="I106" i="28"/>
  <c r="M106" i="28"/>
  <c r="L106" i="28"/>
  <c r="K106" i="28"/>
  <c r="J41" i="28"/>
  <c r="I41" i="28"/>
  <c r="M41" i="28"/>
  <c r="L41" i="28"/>
  <c r="K41" i="28"/>
  <c r="J73" i="28"/>
  <c r="L73" i="28"/>
  <c r="K73" i="28"/>
  <c r="I73" i="28"/>
  <c r="M73" i="28"/>
  <c r="J93" i="28"/>
  <c r="I93" i="28"/>
  <c r="M93" i="28"/>
  <c r="L93" i="28"/>
  <c r="K93" i="28"/>
  <c r="J28" i="28"/>
  <c r="I28" i="28"/>
  <c r="M28" i="28"/>
  <c r="L28" i="28"/>
  <c r="K28" i="28"/>
  <c r="J67" i="28"/>
  <c r="I67" i="28"/>
  <c r="M67" i="28"/>
  <c r="L67" i="28"/>
  <c r="K67" i="28"/>
  <c r="J22" i="28"/>
  <c r="I22" i="28"/>
  <c r="M22" i="28"/>
  <c r="L22" i="28"/>
  <c r="K22" i="28"/>
  <c r="J60" i="28"/>
  <c r="I60" i="28"/>
  <c r="M60" i="28"/>
  <c r="L60" i="28"/>
  <c r="K60" i="28"/>
  <c r="H75" i="33"/>
  <c r="G87" i="33"/>
  <c r="J237" i="30"/>
  <c r="J238" i="30"/>
  <c r="F239" i="30"/>
  <c r="L239" i="30"/>
  <c r="H240" i="30"/>
  <c r="J241" i="30"/>
  <c r="H251" i="30"/>
  <c r="N251" i="30"/>
  <c r="H252" i="30"/>
  <c r="N252" i="30"/>
  <c r="H253" i="30"/>
  <c r="N253" i="30"/>
  <c r="H254" i="30"/>
  <c r="N254" i="30"/>
  <c r="H255" i="30"/>
  <c r="N255" i="30"/>
  <c r="H256" i="30"/>
  <c r="H19" i="33"/>
  <c r="J33" i="33"/>
  <c r="H61" i="33"/>
  <c r="F79" i="33"/>
  <c r="I109" i="33"/>
  <c r="J97" i="33"/>
  <c r="N100" i="33"/>
  <c r="J28" i="36"/>
  <c r="I28" i="36"/>
  <c r="F9" i="31"/>
  <c r="L9" i="31"/>
  <c r="F10" i="31"/>
  <c r="L10" i="31"/>
  <c r="F11" i="31"/>
  <c r="L11" i="31"/>
  <c r="F12" i="31"/>
  <c r="L12" i="31"/>
  <c r="F13" i="31"/>
  <c r="L13" i="31"/>
  <c r="F14" i="31"/>
  <c r="L14" i="31"/>
  <c r="F15" i="31"/>
  <c r="L15" i="31"/>
  <c r="F16" i="31"/>
  <c r="L16" i="31"/>
  <c r="F17" i="31"/>
  <c r="L17" i="31"/>
  <c r="F18" i="31"/>
  <c r="L18" i="31"/>
  <c r="H19" i="31"/>
  <c r="J20" i="31"/>
  <c r="F21" i="31"/>
  <c r="L21" i="31"/>
  <c r="L82" i="33"/>
  <c r="J10" i="33"/>
  <c r="J13" i="33"/>
  <c r="J16" i="33"/>
  <c r="H37" i="33"/>
  <c r="H55" i="33"/>
  <c r="L79" i="33"/>
  <c r="H9" i="31"/>
  <c r="N9" i="31"/>
  <c r="H10" i="31"/>
  <c r="N10" i="31"/>
  <c r="H11" i="31"/>
  <c r="N11" i="31"/>
  <c r="H12" i="31"/>
  <c r="N12" i="31"/>
  <c r="H13" i="31"/>
  <c r="N13" i="31"/>
  <c r="H14" i="31"/>
  <c r="N14" i="31"/>
  <c r="H15" i="31"/>
  <c r="N15" i="31"/>
  <c r="H16" i="31"/>
  <c r="N16" i="31"/>
  <c r="H17" i="31"/>
  <c r="N17" i="31"/>
  <c r="H18" i="31"/>
  <c r="J19" i="31"/>
  <c r="F20" i="31"/>
  <c r="L20" i="31"/>
  <c r="H21" i="31"/>
  <c r="J11" i="33"/>
  <c r="J14" i="33"/>
  <c r="J17" i="33"/>
  <c r="F21" i="33"/>
  <c r="F35" i="33"/>
  <c r="F53" i="33"/>
  <c r="L59" i="33"/>
  <c r="F63" i="33"/>
  <c r="J77" i="33"/>
  <c r="F99" i="33"/>
  <c r="N103" i="33"/>
  <c r="I31" i="35"/>
  <c r="H31" i="35"/>
  <c r="J209" i="30"/>
  <c r="J210" i="30"/>
  <c r="J211" i="30"/>
  <c r="J212" i="30"/>
  <c r="J213" i="30"/>
  <c r="J214" i="30"/>
  <c r="J215" i="30"/>
  <c r="J216" i="30"/>
  <c r="F217" i="30"/>
  <c r="L217" i="30"/>
  <c r="H218" i="30"/>
  <c r="J219" i="30"/>
  <c r="H229" i="30"/>
  <c r="N229" i="30"/>
  <c r="H230" i="30"/>
  <c r="N230" i="30"/>
  <c r="H231" i="30"/>
  <c r="N231" i="30"/>
  <c r="H232" i="30"/>
  <c r="N232" i="30"/>
  <c r="H233" i="30"/>
  <c r="N233" i="30"/>
  <c r="F100" i="33"/>
  <c r="F18" i="33"/>
  <c r="L21" i="33"/>
  <c r="L35" i="33"/>
  <c r="L53" i="33"/>
  <c r="L63" i="33"/>
  <c r="H81" i="33"/>
  <c r="L99" i="33"/>
  <c r="J106" i="33"/>
  <c r="N9" i="33"/>
  <c r="N10" i="33"/>
  <c r="N11" i="33"/>
  <c r="N12" i="33"/>
  <c r="N13" i="33"/>
  <c r="N14" i="33"/>
  <c r="N15" i="33"/>
  <c r="N16" i="33"/>
  <c r="H18" i="35"/>
  <c r="N18" i="35"/>
  <c r="V18" i="35"/>
  <c r="AB18" i="35"/>
  <c r="J14" i="36"/>
  <c r="I14" i="36"/>
  <c r="J16" i="37"/>
  <c r="I16" i="37"/>
  <c r="J50" i="36"/>
  <c r="I50" i="36"/>
  <c r="J40" i="36"/>
  <c r="I40" i="36"/>
  <c r="AL39" i="35"/>
  <c r="AK39" i="35"/>
  <c r="Q6" i="36"/>
  <c r="P6" i="36"/>
  <c r="F9" i="33"/>
  <c r="F10" i="33"/>
  <c r="F11" i="33"/>
  <c r="F12" i="33"/>
  <c r="F13" i="33"/>
  <c r="F14" i="33"/>
  <c r="F15" i="33"/>
  <c r="F16" i="33"/>
  <c r="I20" i="37"/>
  <c r="J20" i="37"/>
  <c r="J6" i="36"/>
  <c r="I6" i="36"/>
  <c r="Q16" i="37"/>
  <c r="P16" i="37"/>
  <c r="I26" i="37"/>
  <c r="J26" i="37"/>
  <c r="L9" i="42"/>
  <c r="N9" i="42"/>
  <c r="H7" i="42"/>
  <c r="J7" i="42"/>
  <c r="I7" i="42"/>
  <c r="H8" i="39"/>
  <c r="G8" i="39"/>
  <c r="I8" i="39"/>
  <c r="H10" i="39"/>
  <c r="G10" i="39"/>
  <c r="I10" i="39"/>
  <c r="O128" i="39"/>
  <c r="M128" i="39"/>
  <c r="L128" i="39"/>
  <c r="K128" i="39"/>
  <c r="N128" i="39"/>
  <c r="P8" i="41"/>
  <c r="S8" i="41"/>
  <c r="R8" i="41"/>
  <c r="T8" i="41"/>
  <c r="Q8" i="41"/>
  <c r="Q6" i="37"/>
  <c r="P6" i="37"/>
  <c r="Q8" i="37"/>
  <c r="P8" i="37"/>
  <c r="Q10" i="37"/>
  <c r="P10" i="37"/>
  <c r="Q12" i="37"/>
  <c r="P12" i="37"/>
  <c r="Q14" i="37"/>
  <c r="P14" i="37"/>
  <c r="M7" i="40"/>
  <c r="L7" i="40"/>
  <c r="N7" i="40"/>
  <c r="H10" i="42"/>
  <c r="J10" i="42"/>
  <c r="I10" i="42"/>
  <c r="H7" i="39"/>
  <c r="G7" i="39"/>
  <c r="I7" i="39"/>
  <c r="H9" i="39"/>
  <c r="G9" i="39"/>
  <c r="I9" i="39"/>
  <c r="F11" i="39"/>
  <c r="L126" i="39"/>
  <c r="K126" i="39"/>
  <c r="O126" i="39"/>
  <c r="N126" i="39"/>
  <c r="M126" i="39"/>
  <c r="H136" i="40"/>
  <c r="I136" i="40"/>
  <c r="G136" i="40"/>
  <c r="P6" i="41"/>
  <c r="S6" i="41"/>
  <c r="R6" i="41"/>
  <c r="T6" i="41"/>
  <c r="Q6" i="41"/>
  <c r="AA20" i="41"/>
  <c r="P10" i="41"/>
  <c r="S10" i="41"/>
  <c r="R10" i="41"/>
  <c r="T10" i="41"/>
  <c r="Q10" i="41"/>
  <c r="K138" i="42"/>
  <c r="O138" i="42"/>
  <c r="N138" i="42"/>
  <c r="M138" i="42"/>
  <c r="L138" i="42"/>
  <c r="I126" i="39"/>
  <c r="H126" i="39"/>
  <c r="G126" i="39"/>
  <c r="C129" i="39"/>
  <c r="L143" i="43"/>
  <c r="O143" i="43"/>
  <c r="N143" i="43"/>
  <c r="M143" i="43"/>
  <c r="C11" i="39"/>
  <c r="F129" i="39"/>
  <c r="H127" i="39"/>
  <c r="G127" i="39"/>
  <c r="I127" i="39"/>
  <c r="L138" i="40"/>
  <c r="O138" i="40"/>
  <c r="N138" i="40"/>
  <c r="M138" i="40"/>
  <c r="K138" i="40"/>
  <c r="F11" i="41"/>
  <c r="F12" i="41"/>
  <c r="G6" i="39"/>
  <c r="H6" i="39"/>
  <c r="R6" i="39"/>
  <c r="Q6" i="39"/>
  <c r="O6" i="39"/>
  <c r="P6" i="39"/>
  <c r="M7" i="39"/>
  <c r="K7" i="39"/>
  <c r="L7" i="39"/>
  <c r="M8" i="39"/>
  <c r="K8" i="39"/>
  <c r="L8" i="39"/>
  <c r="D11" i="39"/>
  <c r="M9" i="39"/>
  <c r="K9" i="39"/>
  <c r="J11" i="39"/>
  <c r="L9" i="39"/>
  <c r="M10" i="39"/>
  <c r="K10" i="39"/>
  <c r="L10" i="39"/>
  <c r="I128" i="39"/>
  <c r="G128" i="39"/>
  <c r="H128" i="39"/>
  <c r="M6" i="41"/>
  <c r="L6" i="41"/>
  <c r="N6" i="41"/>
  <c r="L8" i="41"/>
  <c r="N8" i="41"/>
  <c r="M10" i="41"/>
  <c r="L10" i="41"/>
  <c r="N10" i="41"/>
  <c r="H11" i="42"/>
  <c r="J11" i="42"/>
  <c r="I11" i="42"/>
  <c r="E11" i="39"/>
  <c r="M11" i="40"/>
  <c r="N11" i="40"/>
  <c r="L11" i="40"/>
  <c r="F12" i="40"/>
  <c r="M11" i="41"/>
  <c r="L11" i="41"/>
  <c r="N11" i="41"/>
  <c r="M12" i="41"/>
  <c r="L12" i="41"/>
  <c r="N12" i="41"/>
  <c r="L135" i="41"/>
  <c r="K135" i="41"/>
  <c r="O135" i="41"/>
  <c r="N135" i="41"/>
  <c r="M135" i="41"/>
  <c r="L11" i="42"/>
  <c r="N11" i="42"/>
  <c r="M11" i="42"/>
  <c r="K6" i="39"/>
  <c r="L6" i="39"/>
  <c r="G137" i="40"/>
  <c r="I137" i="40"/>
  <c r="H137" i="40"/>
  <c r="D9" i="47"/>
  <c r="T7" i="39"/>
  <c r="S7" i="39"/>
  <c r="Q7" i="39"/>
  <c r="P7" i="39"/>
  <c r="O7" i="39"/>
  <c r="R7" i="39"/>
  <c r="T8" i="39"/>
  <c r="S8" i="39"/>
  <c r="Q8" i="39"/>
  <c r="P8" i="39"/>
  <c r="O8" i="39"/>
  <c r="R8" i="39"/>
  <c r="N11" i="39"/>
  <c r="T9" i="39"/>
  <c r="S9" i="39"/>
  <c r="Q9" i="39"/>
  <c r="P9" i="39"/>
  <c r="O9" i="39"/>
  <c r="R9" i="39"/>
  <c r="T10" i="39"/>
  <c r="S10" i="39"/>
  <c r="Q10" i="39"/>
  <c r="P10" i="39"/>
  <c r="O10" i="39"/>
  <c r="R10" i="39"/>
  <c r="F11" i="40"/>
  <c r="M12" i="40"/>
  <c r="N12" i="40"/>
  <c r="L12" i="40"/>
  <c r="O135" i="40"/>
  <c r="L135" i="40"/>
  <c r="K135" i="40"/>
  <c r="N135" i="40"/>
  <c r="M135" i="40"/>
  <c r="H136" i="41"/>
  <c r="G136" i="41"/>
  <c r="I136" i="41"/>
  <c r="I12" i="42"/>
  <c r="H12" i="42"/>
  <c r="J12" i="42"/>
  <c r="G136" i="42"/>
  <c r="I136" i="42"/>
  <c r="H136" i="42"/>
  <c r="S11" i="40"/>
  <c r="P11" i="40"/>
  <c r="Q11" i="40"/>
  <c r="T11" i="40"/>
  <c r="R11" i="40"/>
  <c r="S12" i="40"/>
  <c r="P12" i="40"/>
  <c r="T12" i="40"/>
  <c r="Q12" i="40"/>
  <c r="R12" i="40"/>
  <c r="N136" i="40"/>
  <c r="K136" i="40"/>
  <c r="O136" i="40"/>
  <c r="M136" i="40"/>
  <c r="L136" i="40"/>
  <c r="O137" i="41"/>
  <c r="K137" i="41"/>
  <c r="N137" i="41"/>
  <c r="L137" i="41"/>
  <c r="M137" i="41"/>
  <c r="H138" i="41"/>
  <c r="G138" i="41"/>
  <c r="I138" i="41"/>
  <c r="I135" i="40"/>
  <c r="H135" i="40"/>
  <c r="G135" i="40"/>
  <c r="M137" i="40"/>
  <c r="O137" i="40"/>
  <c r="N137" i="40"/>
  <c r="L137" i="40"/>
  <c r="K137" i="40"/>
  <c r="J11" i="41"/>
  <c r="I11" i="41"/>
  <c r="H11" i="41"/>
  <c r="J12" i="41"/>
  <c r="I12" i="41"/>
  <c r="H12" i="41"/>
  <c r="L12" i="42"/>
  <c r="N12" i="42"/>
  <c r="M12" i="42"/>
  <c r="H135" i="42"/>
  <c r="I135" i="42"/>
  <c r="G135" i="42"/>
  <c r="I138" i="42"/>
  <c r="H138" i="42"/>
  <c r="G138" i="42"/>
  <c r="I15" i="43"/>
  <c r="J15" i="43"/>
  <c r="H15" i="43"/>
  <c r="D16" i="43"/>
  <c r="I7" i="43"/>
  <c r="H7" i="43"/>
  <c r="J7" i="43"/>
  <c r="P11" i="41"/>
  <c r="S11" i="41"/>
  <c r="R11" i="41"/>
  <c r="T11" i="41"/>
  <c r="Q11" i="41"/>
  <c r="P12" i="41"/>
  <c r="S12" i="41"/>
  <c r="R12" i="41"/>
  <c r="T12" i="41"/>
  <c r="Q12" i="41"/>
  <c r="I137" i="41"/>
  <c r="G137" i="41"/>
  <c r="H137" i="41"/>
  <c r="O134" i="42"/>
  <c r="L134" i="42"/>
  <c r="K134" i="42"/>
  <c r="M134" i="42"/>
  <c r="N134" i="42"/>
  <c r="J11" i="40"/>
  <c r="I11" i="40"/>
  <c r="H11" i="40"/>
  <c r="J12" i="40"/>
  <c r="I12" i="40"/>
  <c r="H12" i="40"/>
  <c r="I138" i="40"/>
  <c r="H138" i="40"/>
  <c r="G138" i="40"/>
  <c r="I135" i="41"/>
  <c r="H135" i="41"/>
  <c r="G135" i="41"/>
  <c r="F11" i="42"/>
  <c r="R11" i="42"/>
  <c r="T11" i="42"/>
  <c r="S11" i="42"/>
  <c r="Q11" i="42"/>
  <c r="P11" i="42"/>
  <c r="F12" i="42"/>
  <c r="Q15" i="43"/>
  <c r="P15" i="43"/>
  <c r="T15" i="43"/>
  <c r="S15" i="43"/>
  <c r="R15" i="43"/>
  <c r="D12" i="48"/>
  <c r="N138" i="41"/>
  <c r="L138" i="41"/>
  <c r="K138" i="41"/>
  <c r="O138" i="41"/>
  <c r="M138" i="41"/>
  <c r="N135" i="42"/>
  <c r="K135" i="42"/>
  <c r="L135" i="42"/>
  <c r="O135" i="42"/>
  <c r="M135" i="42"/>
  <c r="C146" i="43"/>
  <c r="R12" i="42"/>
  <c r="T12" i="42"/>
  <c r="Q12" i="42"/>
  <c r="P12" i="42"/>
  <c r="S12" i="42"/>
  <c r="I134" i="42"/>
  <c r="G134" i="42"/>
  <c r="H134" i="42"/>
  <c r="M136" i="42"/>
  <c r="O136" i="42"/>
  <c r="K136" i="42"/>
  <c r="N136" i="42"/>
  <c r="L136" i="42"/>
  <c r="E146" i="43"/>
  <c r="O137" i="43"/>
  <c r="M137" i="43"/>
  <c r="N137" i="43"/>
  <c r="L137" i="43"/>
  <c r="M139" i="43"/>
  <c r="O139" i="43"/>
  <c r="L139" i="43"/>
  <c r="N139" i="43"/>
  <c r="L137" i="42"/>
  <c r="O137" i="42"/>
  <c r="N137" i="42"/>
  <c r="K137" i="42"/>
  <c r="M137" i="42"/>
  <c r="H13" i="44"/>
  <c r="I13" i="44"/>
  <c r="J13" i="44"/>
  <c r="H15" i="44"/>
  <c r="I15" i="44"/>
  <c r="J15" i="44"/>
  <c r="L136" i="41"/>
  <c r="K136" i="41"/>
  <c r="O136" i="41"/>
  <c r="N136" i="41"/>
  <c r="M136" i="41"/>
  <c r="I137" i="42"/>
  <c r="H137" i="42"/>
  <c r="G137" i="42"/>
  <c r="D16" i="44"/>
  <c r="G139" i="44"/>
  <c r="I139" i="44"/>
  <c r="H139" i="44"/>
  <c r="E146" i="45"/>
  <c r="E16" i="44"/>
  <c r="F16" i="44" s="1"/>
  <c r="F6" i="44"/>
  <c r="T6" i="44"/>
  <c r="R6" i="44"/>
  <c r="O16" i="44"/>
  <c r="P6" i="44"/>
  <c r="S6" i="44"/>
  <c r="Q6" i="44"/>
  <c r="F7" i="44"/>
  <c r="T7" i="44"/>
  <c r="R7" i="44"/>
  <c r="P7" i="44"/>
  <c r="S7" i="44"/>
  <c r="Q7" i="44"/>
  <c r="F8" i="44"/>
  <c r="T8" i="44"/>
  <c r="R8" i="44"/>
  <c r="P8" i="44"/>
  <c r="S8" i="44"/>
  <c r="Q8" i="44"/>
  <c r="F9" i="44"/>
  <c r="T9" i="44"/>
  <c r="R9" i="44"/>
  <c r="P9" i="44"/>
  <c r="S9" i="44"/>
  <c r="Q9" i="44"/>
  <c r="F10" i="44"/>
  <c r="T10" i="44"/>
  <c r="R10" i="44"/>
  <c r="P10" i="44"/>
  <c r="S10" i="44"/>
  <c r="Q10" i="44"/>
  <c r="F11" i="44"/>
  <c r="T11" i="44"/>
  <c r="R11" i="44"/>
  <c r="P11" i="44"/>
  <c r="S11" i="44"/>
  <c r="Q11" i="44"/>
  <c r="H12" i="44"/>
  <c r="I12" i="44"/>
  <c r="J12" i="44"/>
  <c r="H14" i="44"/>
  <c r="I14" i="44"/>
  <c r="J14" i="44"/>
  <c r="H138" i="44"/>
  <c r="I138" i="44"/>
  <c r="G138" i="44"/>
  <c r="G136" i="45"/>
  <c r="F146" i="45"/>
  <c r="I136" i="45"/>
  <c r="H136" i="45"/>
  <c r="K136" i="45" s="1"/>
  <c r="N144" i="45"/>
  <c r="M144" i="45"/>
  <c r="L144" i="45"/>
  <c r="O144" i="45"/>
  <c r="D18" i="46"/>
  <c r="H6" i="44"/>
  <c r="G16" i="44"/>
  <c r="J6" i="44"/>
  <c r="I6" i="44"/>
  <c r="H7" i="44"/>
  <c r="J7" i="44"/>
  <c r="I7" i="44"/>
  <c r="H8" i="44"/>
  <c r="J8" i="44"/>
  <c r="I8" i="44"/>
  <c r="H9" i="44"/>
  <c r="J9" i="44"/>
  <c r="I9" i="44"/>
  <c r="H10" i="44"/>
  <c r="J10" i="44"/>
  <c r="I10" i="44"/>
  <c r="H11" i="44"/>
  <c r="J11" i="44"/>
  <c r="I11" i="44"/>
  <c r="Q13" i="44"/>
  <c r="T13" i="44"/>
  <c r="R13" i="44"/>
  <c r="S13" i="44"/>
  <c r="P13" i="44"/>
  <c r="Q15" i="44"/>
  <c r="T15" i="44"/>
  <c r="R15" i="44"/>
  <c r="S15" i="44"/>
  <c r="P15" i="44"/>
  <c r="H141" i="44"/>
  <c r="K141" i="44" s="1"/>
  <c r="G141" i="44"/>
  <c r="I141" i="44"/>
  <c r="L137" i="45"/>
  <c r="O137" i="45"/>
  <c r="N137" i="45"/>
  <c r="M137" i="45"/>
  <c r="C146" i="44"/>
  <c r="C16" i="44"/>
  <c r="K16" i="44"/>
  <c r="N6" i="44"/>
  <c r="L6" i="44"/>
  <c r="M6" i="44"/>
  <c r="N7" i="44"/>
  <c r="L7" i="44"/>
  <c r="M7" i="44"/>
  <c r="N8" i="44"/>
  <c r="L8" i="44"/>
  <c r="M8" i="44"/>
  <c r="N9" i="44"/>
  <c r="L9" i="44"/>
  <c r="M9" i="44"/>
  <c r="N10" i="44"/>
  <c r="L10" i="44"/>
  <c r="M10" i="44"/>
  <c r="N11" i="44"/>
  <c r="L11" i="44"/>
  <c r="M11" i="44"/>
  <c r="Q12" i="44"/>
  <c r="T12" i="44"/>
  <c r="R12" i="44"/>
  <c r="S12" i="44"/>
  <c r="P12" i="44"/>
  <c r="Q14" i="44"/>
  <c r="T14" i="44"/>
  <c r="R14" i="44"/>
  <c r="S14" i="44"/>
  <c r="P14" i="44"/>
  <c r="G142" i="44"/>
  <c r="I142" i="44"/>
  <c r="H142" i="44"/>
  <c r="D9" i="46"/>
  <c r="D18" i="47"/>
  <c r="D21" i="48"/>
  <c r="G143" i="44"/>
  <c r="I143" i="44"/>
  <c r="H143" i="44"/>
  <c r="E146" i="44"/>
  <c r="D12" i="46"/>
  <c r="D21" i="46"/>
  <c r="D15" i="48"/>
  <c r="G136" i="44"/>
  <c r="H136" i="44"/>
  <c r="K136" i="44" s="1"/>
  <c r="F146" i="44"/>
  <c r="I136" i="44"/>
  <c r="H6" i="45"/>
  <c r="J6" i="45"/>
  <c r="I6" i="45"/>
  <c r="G16" i="45"/>
  <c r="H7" i="45"/>
  <c r="J7" i="45"/>
  <c r="I7" i="45"/>
  <c r="H8" i="45"/>
  <c r="J8" i="45"/>
  <c r="I8" i="45"/>
  <c r="H9" i="45"/>
  <c r="J9" i="45"/>
  <c r="I9" i="45"/>
  <c r="H10" i="45"/>
  <c r="J10" i="45"/>
  <c r="I10" i="45"/>
  <c r="H11" i="45"/>
  <c r="J11" i="45"/>
  <c r="I11" i="45"/>
  <c r="H12" i="45"/>
  <c r="J12" i="45"/>
  <c r="I12" i="45"/>
  <c r="H13" i="45"/>
  <c r="J13" i="45"/>
  <c r="I13" i="45"/>
  <c r="H14" i="45"/>
  <c r="J14" i="45"/>
  <c r="I14" i="45"/>
  <c r="H15" i="45"/>
  <c r="J15" i="45"/>
  <c r="I15" i="45"/>
  <c r="D15" i="47"/>
  <c r="N138" i="45"/>
  <c r="M138" i="45"/>
  <c r="L138" i="45"/>
  <c r="O138" i="45"/>
  <c r="D15" i="46"/>
  <c r="D9" i="48"/>
  <c r="D18" i="48"/>
  <c r="F12" i="44"/>
  <c r="N12" i="44"/>
  <c r="L12" i="44"/>
  <c r="M12" i="44"/>
  <c r="F13" i="44"/>
  <c r="N13" i="44"/>
  <c r="L13" i="44"/>
  <c r="M13" i="44"/>
  <c r="F14" i="44"/>
  <c r="N14" i="44"/>
  <c r="L14" i="44"/>
  <c r="M14" i="44"/>
  <c r="F15" i="44"/>
  <c r="N15" i="44"/>
  <c r="L15" i="44"/>
  <c r="M15" i="44"/>
  <c r="M145" i="45"/>
  <c r="L145" i="45"/>
  <c r="N145" i="45"/>
  <c r="O145" i="45"/>
  <c r="L143" i="45"/>
  <c r="O143" i="45"/>
  <c r="N143" i="45"/>
  <c r="M143" i="45"/>
  <c r="D12" i="47"/>
  <c r="D21" i="47"/>
  <c r="C16" i="45"/>
  <c r="T6" i="45"/>
  <c r="Q6" i="45"/>
  <c r="P6" i="45"/>
  <c r="O16" i="45"/>
  <c r="S6" i="45"/>
  <c r="R6" i="45"/>
  <c r="T7" i="45"/>
  <c r="Q7" i="45"/>
  <c r="P7" i="45"/>
  <c r="S7" i="45"/>
  <c r="R7" i="45"/>
  <c r="T8" i="45"/>
  <c r="Q8" i="45"/>
  <c r="P8" i="45"/>
  <c r="S8" i="45"/>
  <c r="R8" i="45"/>
  <c r="T9" i="45"/>
  <c r="Q9" i="45"/>
  <c r="P9" i="45"/>
  <c r="S9" i="45"/>
  <c r="R9" i="45"/>
  <c r="T10" i="45"/>
  <c r="Q10" i="45"/>
  <c r="P10" i="45"/>
  <c r="S10" i="45"/>
  <c r="R10" i="45"/>
  <c r="T11" i="45"/>
  <c r="Q11" i="45"/>
  <c r="P11" i="45"/>
  <c r="S11" i="45"/>
  <c r="R11" i="45"/>
  <c r="T12" i="45"/>
  <c r="Q12" i="45"/>
  <c r="P12" i="45"/>
  <c r="S12" i="45"/>
  <c r="R12" i="45"/>
  <c r="T13" i="45"/>
  <c r="Q13" i="45"/>
  <c r="P13" i="45"/>
  <c r="S13" i="45"/>
  <c r="R13" i="45"/>
  <c r="T14" i="45"/>
  <c r="Q14" i="45"/>
  <c r="P14" i="45"/>
  <c r="S14" i="45"/>
  <c r="R14" i="45"/>
  <c r="T15" i="45"/>
  <c r="Q15" i="45"/>
  <c r="P15" i="45"/>
  <c r="S15" i="45"/>
  <c r="R15" i="45"/>
  <c r="D16" i="45"/>
  <c r="C146" i="45"/>
  <c r="D8" i="46"/>
  <c r="D11" i="46"/>
  <c r="D14" i="46"/>
  <c r="D17" i="46"/>
  <c r="D20" i="46"/>
  <c r="D8" i="47"/>
  <c r="D11" i="47"/>
  <c r="D14" i="47"/>
  <c r="D17" i="47"/>
  <c r="D20" i="47"/>
  <c r="D8" i="48"/>
  <c r="D11" i="48"/>
  <c r="D14" i="48"/>
  <c r="D17" i="48"/>
  <c r="D20" i="48"/>
  <c r="E16" i="45"/>
  <c r="F16" i="45" s="1"/>
  <c r="F6" i="45"/>
  <c r="N6" i="45"/>
  <c r="K16" i="45"/>
  <c r="L6" i="45"/>
  <c r="M6" i="45"/>
  <c r="F7" i="45"/>
  <c r="N7" i="45"/>
  <c r="L7" i="45"/>
  <c r="M7" i="45"/>
  <c r="F8" i="45"/>
  <c r="N8" i="45"/>
  <c r="L8" i="45"/>
  <c r="M8" i="45"/>
  <c r="F9" i="45"/>
  <c r="N9" i="45"/>
  <c r="L9" i="45"/>
  <c r="M9" i="45"/>
  <c r="F10" i="45"/>
  <c r="N10" i="45"/>
  <c r="L10" i="45"/>
  <c r="M10" i="45"/>
  <c r="F11" i="45"/>
  <c r="N11" i="45"/>
  <c r="L11" i="45"/>
  <c r="M11" i="45"/>
  <c r="F12" i="45"/>
  <c r="N12" i="45"/>
  <c r="L12" i="45"/>
  <c r="M12" i="45"/>
  <c r="F13" i="45"/>
  <c r="N13" i="45"/>
  <c r="L13" i="45"/>
  <c r="M13" i="45"/>
  <c r="F14" i="45"/>
  <c r="N14" i="45"/>
  <c r="L14" i="45"/>
  <c r="M14" i="45"/>
  <c r="F15" i="45"/>
  <c r="N15" i="45"/>
  <c r="L15" i="45"/>
  <c r="M15" i="45"/>
  <c r="D10" i="46"/>
  <c r="D13" i="46"/>
  <c r="D16" i="46"/>
  <c r="D19" i="46"/>
  <c r="D10" i="47"/>
  <c r="D13" i="47"/>
  <c r="D16" i="47"/>
  <c r="D19" i="47"/>
  <c r="D10" i="48"/>
  <c r="D13" i="48"/>
  <c r="D16" i="48"/>
  <c r="D19" i="48"/>
  <c r="J109" i="10"/>
  <c r="J106" i="10"/>
  <c r="J105" i="10"/>
  <c r="J104" i="10"/>
  <c r="J103" i="10"/>
  <c r="J102" i="10"/>
  <c r="J101" i="10"/>
  <c r="J100" i="10"/>
  <c r="J99" i="10"/>
  <c r="J98" i="10"/>
  <c r="J97" i="10"/>
  <c r="J96" i="10"/>
  <c r="J108" i="10"/>
  <c r="G95" i="10"/>
  <c r="L6" i="2"/>
  <c r="E18" i="2"/>
  <c r="L152" i="3"/>
  <c r="K6" i="5"/>
  <c r="J6" i="6"/>
  <c r="I6" i="6"/>
  <c r="K6" i="6"/>
  <c r="N74" i="10"/>
  <c r="T6" i="5"/>
  <c r="K6" i="2"/>
  <c r="J58" i="2"/>
  <c r="H17" i="2"/>
  <c r="F18" i="2"/>
  <c r="K58" i="2"/>
  <c r="K79" i="3"/>
  <c r="L6" i="5"/>
  <c r="R20" i="13"/>
  <c r="Q23" i="14"/>
  <c r="M7" i="15"/>
  <c r="L7" i="15"/>
  <c r="J7" i="15"/>
  <c r="I7" i="15"/>
  <c r="K7" i="15"/>
  <c r="J6" i="3"/>
  <c r="M6" i="5"/>
  <c r="S6" i="5"/>
  <c r="J107" i="10"/>
  <c r="O23" i="14"/>
  <c r="N83" i="8"/>
  <c r="N82" i="8"/>
  <c r="N81" i="8"/>
  <c r="N80" i="8"/>
  <c r="N79" i="8"/>
  <c r="N78" i="8"/>
  <c r="N77" i="8"/>
  <c r="N76" i="8"/>
  <c r="N75" i="8"/>
  <c r="J6" i="2"/>
  <c r="E17" i="2"/>
  <c r="L6" i="3"/>
  <c r="J152" i="3"/>
  <c r="I6" i="5"/>
  <c r="U6" i="5"/>
  <c r="N74" i="8"/>
  <c r="C146" i="13"/>
  <c r="C118" i="13"/>
  <c r="C90" i="13"/>
  <c r="C62" i="13"/>
  <c r="C34" i="13"/>
  <c r="C20" i="13"/>
  <c r="C160" i="13"/>
  <c r="C132" i="13"/>
  <c r="C104" i="13"/>
  <c r="C76" i="13"/>
  <c r="C48" i="13"/>
  <c r="K152" i="3"/>
  <c r="J6" i="5"/>
  <c r="V6" i="5"/>
  <c r="N83" i="10"/>
  <c r="N82" i="10"/>
  <c r="N81" i="10"/>
  <c r="N80" i="10"/>
  <c r="N79" i="10"/>
  <c r="N78" i="10"/>
  <c r="N77" i="10"/>
  <c r="N76" i="10"/>
  <c r="K73" i="10"/>
  <c r="L96" i="10"/>
  <c r="J5" i="12"/>
  <c r="I5" i="12"/>
  <c r="L5" i="12"/>
  <c r="K5" i="12"/>
  <c r="Q6" i="6"/>
  <c r="N8" i="8"/>
  <c r="K29" i="8"/>
  <c r="L30" i="8" s="1"/>
  <c r="M117" i="8"/>
  <c r="N118" i="8" s="1"/>
  <c r="M183" i="8"/>
  <c r="N184" i="8" s="1"/>
  <c r="M249" i="8"/>
  <c r="N250" i="8" s="1"/>
  <c r="N8" i="10"/>
  <c r="L30" i="10"/>
  <c r="N34" i="10"/>
  <c r="N35" i="10"/>
  <c r="N36" i="10"/>
  <c r="N37" i="10"/>
  <c r="N38" i="10"/>
  <c r="N39" i="10"/>
  <c r="L42" i="10"/>
  <c r="I51" i="10"/>
  <c r="L75" i="10"/>
  <c r="L76" i="10"/>
  <c r="L77" i="10"/>
  <c r="L78" i="10"/>
  <c r="L79" i="10"/>
  <c r="L80" i="10"/>
  <c r="L81" i="10"/>
  <c r="L82" i="10"/>
  <c r="L83" i="10"/>
  <c r="L84" i="10"/>
  <c r="L87" i="10"/>
  <c r="C53" i="12"/>
  <c r="C57" i="12" s="1"/>
  <c r="G54" i="12"/>
  <c r="E55" i="12"/>
  <c r="C56" i="12"/>
  <c r="U11" i="12"/>
  <c r="A12" i="12"/>
  <c r="U13" i="12"/>
  <c r="A14" i="12"/>
  <c r="U15" i="12"/>
  <c r="U18" i="12"/>
  <c r="U21" i="12"/>
  <c r="U24" i="12"/>
  <c r="U27" i="12"/>
  <c r="U30" i="12"/>
  <c r="U33" i="12"/>
  <c r="U36" i="12"/>
  <c r="U39" i="12"/>
  <c r="U42" i="12"/>
  <c r="U45" i="12"/>
  <c r="U48" i="12"/>
  <c r="U51" i="12"/>
  <c r="U54" i="12"/>
  <c r="U57" i="12"/>
  <c r="U6" i="13"/>
  <c r="E20" i="13"/>
  <c r="E34" i="13"/>
  <c r="E62" i="13"/>
  <c r="E90" i="13"/>
  <c r="E118" i="13"/>
  <c r="E146" i="13"/>
  <c r="C163" i="14"/>
  <c r="C121" i="14"/>
  <c r="C79" i="14"/>
  <c r="C37" i="14"/>
  <c r="C135" i="14"/>
  <c r="C93" i="14"/>
  <c r="C51" i="14"/>
  <c r="I9" i="14"/>
  <c r="N23" i="14"/>
  <c r="E105" i="15"/>
  <c r="E119" i="15"/>
  <c r="E35" i="15"/>
  <c r="E147" i="15"/>
  <c r="E63" i="15"/>
  <c r="E21" i="15"/>
  <c r="E161" i="15"/>
  <c r="E77" i="15"/>
  <c r="E91" i="15"/>
  <c r="E49" i="15"/>
  <c r="L134" i="18"/>
  <c r="L104" i="18"/>
  <c r="L148" i="18"/>
  <c r="L118" i="18"/>
  <c r="L146" i="18"/>
  <c r="L92" i="18"/>
  <c r="L160" i="18"/>
  <c r="L106" i="18"/>
  <c r="L120" i="18"/>
  <c r="L90" i="18"/>
  <c r="L76" i="18"/>
  <c r="L36" i="18"/>
  <c r="L78" i="18"/>
  <c r="L50" i="18"/>
  <c r="L20" i="18"/>
  <c r="L48" i="18"/>
  <c r="L62" i="18"/>
  <c r="L8" i="18"/>
  <c r="L22" i="18"/>
  <c r="R6" i="6"/>
  <c r="M29" i="8"/>
  <c r="N30" i="8" s="1"/>
  <c r="K51" i="8"/>
  <c r="L97" i="8"/>
  <c r="L98" i="8"/>
  <c r="L99" i="8"/>
  <c r="L100" i="8"/>
  <c r="L101" i="8"/>
  <c r="L102" i="8"/>
  <c r="L103" i="8"/>
  <c r="L104" i="8"/>
  <c r="L105" i="8"/>
  <c r="L106" i="8"/>
  <c r="L109" i="8"/>
  <c r="L129" i="8"/>
  <c r="K139" i="8"/>
  <c r="L140" i="8" s="1"/>
  <c r="N141" i="8"/>
  <c r="N142" i="8"/>
  <c r="N143" i="8"/>
  <c r="N144" i="8"/>
  <c r="N145" i="8"/>
  <c r="N146" i="8"/>
  <c r="N147" i="8"/>
  <c r="N148" i="8"/>
  <c r="N149" i="8"/>
  <c r="L152" i="8"/>
  <c r="L163" i="8"/>
  <c r="L164" i="8"/>
  <c r="L165" i="8"/>
  <c r="L166" i="8"/>
  <c r="L167" i="8"/>
  <c r="L168" i="8"/>
  <c r="L169" i="8"/>
  <c r="L170" i="8"/>
  <c r="L171" i="8"/>
  <c r="L172" i="8"/>
  <c r="L175" i="8"/>
  <c r="L195" i="8"/>
  <c r="K205" i="8"/>
  <c r="L206" i="8" s="1"/>
  <c r="N207" i="8"/>
  <c r="N208" i="8"/>
  <c r="N209" i="8"/>
  <c r="N210" i="8"/>
  <c r="N211" i="8"/>
  <c r="N212" i="8"/>
  <c r="N213" i="8"/>
  <c r="N214" i="8"/>
  <c r="N215" i="8"/>
  <c r="L218" i="8"/>
  <c r="L229" i="8"/>
  <c r="L230" i="8"/>
  <c r="L231" i="8"/>
  <c r="L232" i="8"/>
  <c r="L233" i="8"/>
  <c r="L234" i="8"/>
  <c r="L235" i="8"/>
  <c r="L236" i="8"/>
  <c r="L237" i="8"/>
  <c r="L238" i="8"/>
  <c r="L241" i="8"/>
  <c r="L261" i="8"/>
  <c r="K271" i="8"/>
  <c r="L272" i="8" s="1"/>
  <c r="N273" i="8"/>
  <c r="N274" i="8"/>
  <c r="N275" i="8"/>
  <c r="N276" i="8"/>
  <c r="N277" i="8"/>
  <c r="N278" i="8"/>
  <c r="N279" i="8"/>
  <c r="N280" i="8"/>
  <c r="N281" i="8"/>
  <c r="L284" i="8"/>
  <c r="N30" i="10"/>
  <c r="N53" i="10"/>
  <c r="N54" i="10"/>
  <c r="N55" i="10"/>
  <c r="N56" i="10"/>
  <c r="N57" i="10"/>
  <c r="N58" i="10"/>
  <c r="N59" i="10"/>
  <c r="N60" i="10"/>
  <c r="N61" i="10"/>
  <c r="L64" i="10"/>
  <c r="L97" i="10"/>
  <c r="L98" i="10"/>
  <c r="L99" i="10"/>
  <c r="L100" i="10"/>
  <c r="L101" i="10"/>
  <c r="L102" i="10"/>
  <c r="L103" i="10"/>
  <c r="L104" i="10"/>
  <c r="L105" i="10"/>
  <c r="L106" i="10"/>
  <c r="L109" i="10"/>
  <c r="F55" i="12"/>
  <c r="V6" i="13"/>
  <c r="F20" i="13"/>
  <c r="O20" i="13"/>
  <c r="F34" i="13"/>
  <c r="F62" i="13"/>
  <c r="F90" i="13"/>
  <c r="F118" i="13"/>
  <c r="F146" i="13"/>
  <c r="C107" i="14"/>
  <c r="Q21" i="16"/>
  <c r="Q9" i="16"/>
  <c r="S6" i="6"/>
  <c r="M51" i="8"/>
  <c r="K73" i="8"/>
  <c r="M139" i="8"/>
  <c r="N140" i="8" s="1"/>
  <c r="M205" i="8"/>
  <c r="N206" i="8" s="1"/>
  <c r="M271" i="8"/>
  <c r="N272" i="8" s="1"/>
  <c r="L41" i="10"/>
  <c r="N52" i="10"/>
  <c r="L86" i="10"/>
  <c r="S5" i="12"/>
  <c r="E53" i="12"/>
  <c r="E57" i="12" s="1"/>
  <c r="C54" i="12"/>
  <c r="G55" i="12"/>
  <c r="E56" i="12"/>
  <c r="U16" i="12"/>
  <c r="U19" i="12"/>
  <c r="U22" i="12"/>
  <c r="U25" i="12"/>
  <c r="U28" i="12"/>
  <c r="U31" i="12"/>
  <c r="U34" i="12"/>
  <c r="U37" i="12"/>
  <c r="U40" i="12"/>
  <c r="U43" i="12"/>
  <c r="U46" i="12"/>
  <c r="U49" i="12"/>
  <c r="U52" i="12"/>
  <c r="U55" i="12"/>
  <c r="G20" i="13"/>
  <c r="P20" i="13"/>
  <c r="G34" i="13"/>
  <c r="D48" i="13"/>
  <c r="G62" i="13"/>
  <c r="D76" i="13"/>
  <c r="G90" i="13"/>
  <c r="D104" i="13"/>
  <c r="G118" i="13"/>
  <c r="D132" i="13"/>
  <c r="G146" i="13"/>
  <c r="D160" i="13"/>
  <c r="T9" i="14"/>
  <c r="P23" i="14"/>
  <c r="T21" i="15"/>
  <c r="I7" i="8"/>
  <c r="M95" i="8"/>
  <c r="N96" i="8" s="1"/>
  <c r="M161" i="8"/>
  <c r="N162" i="8" s="1"/>
  <c r="M227" i="8"/>
  <c r="N228" i="8" s="1"/>
  <c r="L32" i="10"/>
  <c r="L33" i="10"/>
  <c r="L34" i="10"/>
  <c r="L35" i="10"/>
  <c r="L36" i="10"/>
  <c r="L37" i="10"/>
  <c r="L38" i="10"/>
  <c r="L39" i="10"/>
  <c r="L40" i="10"/>
  <c r="L43" i="10"/>
  <c r="L85" i="10"/>
  <c r="N96" i="10"/>
  <c r="U5" i="12"/>
  <c r="G53" i="12"/>
  <c r="G57" i="12" s="1"/>
  <c r="E54" i="12"/>
  <c r="C55" i="12"/>
  <c r="G56" i="12"/>
  <c r="U17" i="12"/>
  <c r="U20" i="12"/>
  <c r="U23" i="12"/>
  <c r="U26" i="12"/>
  <c r="U29" i="12"/>
  <c r="U32" i="12"/>
  <c r="U35" i="12"/>
  <c r="U38" i="12"/>
  <c r="U41" i="12"/>
  <c r="U44" i="12"/>
  <c r="U47" i="12"/>
  <c r="U50" i="12"/>
  <c r="U53" i="12"/>
  <c r="U56" i="12"/>
  <c r="J6" i="13"/>
  <c r="F48" i="13"/>
  <c r="F76" i="13"/>
  <c r="F104" i="13"/>
  <c r="F132" i="13"/>
  <c r="F160" i="13"/>
  <c r="C23" i="14"/>
  <c r="J7" i="16"/>
  <c r="I7" i="16"/>
  <c r="K7" i="16"/>
  <c r="L64" i="18"/>
  <c r="L8" i="8"/>
  <c r="L107" i="8"/>
  <c r="K117" i="8"/>
  <c r="L118" i="8" s="1"/>
  <c r="N119" i="8"/>
  <c r="N120" i="8"/>
  <c r="N121" i="8"/>
  <c r="N122" i="8"/>
  <c r="N123" i="8"/>
  <c r="N124" i="8"/>
  <c r="N125" i="8"/>
  <c r="N126" i="8"/>
  <c r="N127" i="8"/>
  <c r="L130" i="8"/>
  <c r="L141" i="8"/>
  <c r="L142" i="8"/>
  <c r="L143" i="8"/>
  <c r="L144" i="8"/>
  <c r="L145" i="8"/>
  <c r="L146" i="8"/>
  <c r="L147" i="8"/>
  <c r="L148" i="8"/>
  <c r="L149" i="8"/>
  <c r="L150" i="8"/>
  <c r="L153" i="8"/>
  <c r="L173" i="8"/>
  <c r="K183" i="8"/>
  <c r="L184" i="8" s="1"/>
  <c r="N185" i="8"/>
  <c r="N186" i="8"/>
  <c r="N187" i="8"/>
  <c r="N188" i="8"/>
  <c r="N189" i="8"/>
  <c r="N190" i="8"/>
  <c r="N191" i="8"/>
  <c r="N192" i="8"/>
  <c r="N193" i="8"/>
  <c r="L196" i="8"/>
  <c r="L207" i="8"/>
  <c r="L208" i="8"/>
  <c r="L209" i="8"/>
  <c r="L210" i="8"/>
  <c r="L211" i="8"/>
  <c r="L212" i="8"/>
  <c r="L213" i="8"/>
  <c r="L214" i="8"/>
  <c r="L215" i="8"/>
  <c r="L216" i="8"/>
  <c r="L219" i="8"/>
  <c r="L239" i="8"/>
  <c r="K249" i="8"/>
  <c r="L250" i="8" s="1"/>
  <c r="N251" i="8"/>
  <c r="N252" i="8"/>
  <c r="N253" i="8"/>
  <c r="N254" i="8"/>
  <c r="N255" i="8"/>
  <c r="N256" i="8"/>
  <c r="N257" i="8"/>
  <c r="N258" i="8"/>
  <c r="L262" i="8"/>
  <c r="L273" i="8"/>
  <c r="L274" i="8"/>
  <c r="L275" i="8"/>
  <c r="L276" i="8"/>
  <c r="L277" i="8"/>
  <c r="L278" i="8"/>
  <c r="L279" i="8"/>
  <c r="L280" i="8"/>
  <c r="L281" i="8"/>
  <c r="L282" i="8"/>
  <c r="K7" i="10"/>
  <c r="N9" i="10"/>
  <c r="N10" i="10"/>
  <c r="N11" i="10"/>
  <c r="N12" i="10"/>
  <c r="N13" i="10"/>
  <c r="N14" i="10"/>
  <c r="N15" i="10"/>
  <c r="N16" i="10"/>
  <c r="N17" i="10"/>
  <c r="I29" i="10"/>
  <c r="L53" i="10"/>
  <c r="L54" i="10"/>
  <c r="L55" i="10"/>
  <c r="L56" i="10"/>
  <c r="L57" i="10"/>
  <c r="L58" i="10"/>
  <c r="L59" i="10"/>
  <c r="L60" i="10"/>
  <c r="L61" i="10"/>
  <c r="L62" i="10"/>
  <c r="L65" i="10"/>
  <c r="V5" i="12"/>
  <c r="F54" i="12"/>
  <c r="F57" i="12" s="1"/>
  <c r="D20" i="13"/>
  <c r="S20" i="13"/>
  <c r="D34" i="13"/>
  <c r="G48" i="13"/>
  <c r="D62" i="13"/>
  <c r="G76" i="13"/>
  <c r="D90" i="13"/>
  <c r="G104" i="13"/>
  <c r="D118" i="13"/>
  <c r="G132" i="13"/>
  <c r="D146" i="13"/>
  <c r="G160" i="13"/>
  <c r="C65" i="14"/>
  <c r="Q21" i="15"/>
  <c r="E133" i="15"/>
  <c r="L34" i="18"/>
  <c r="L132" i="18"/>
  <c r="E149" i="16"/>
  <c r="E147" i="16"/>
  <c r="E121" i="16"/>
  <c r="E119" i="16"/>
  <c r="E93" i="16"/>
  <c r="E91" i="16"/>
  <c r="E161" i="16"/>
  <c r="E135" i="16"/>
  <c r="E133" i="16"/>
  <c r="E107" i="16"/>
  <c r="E105" i="16"/>
  <c r="E79" i="16"/>
  <c r="Q21" i="17"/>
  <c r="Q9" i="17"/>
  <c r="F78" i="18"/>
  <c r="X7" i="15"/>
  <c r="D21" i="15"/>
  <c r="S21" i="15"/>
  <c r="C49" i="15"/>
  <c r="D63" i="15"/>
  <c r="F91" i="15"/>
  <c r="G105" i="15"/>
  <c r="C133" i="15"/>
  <c r="D147" i="15"/>
  <c r="F161" i="16"/>
  <c r="F135" i="16"/>
  <c r="F133" i="16"/>
  <c r="F107" i="16"/>
  <c r="F105" i="16"/>
  <c r="F79" i="16"/>
  <c r="U7" i="16"/>
  <c r="E9" i="16"/>
  <c r="E21" i="16"/>
  <c r="E35" i="16"/>
  <c r="E37" i="16"/>
  <c r="E63" i="16"/>
  <c r="E65" i="16"/>
  <c r="D91" i="16"/>
  <c r="D93" i="16"/>
  <c r="D119" i="16"/>
  <c r="D121" i="16"/>
  <c r="D147" i="16"/>
  <c r="D149" i="16"/>
  <c r="D51" i="17"/>
  <c r="D77" i="17"/>
  <c r="D107" i="17"/>
  <c r="D133" i="17"/>
  <c r="Y7" i="15"/>
  <c r="C35" i="15"/>
  <c r="D49" i="15"/>
  <c r="F77" i="15"/>
  <c r="G91" i="15"/>
  <c r="C119" i="15"/>
  <c r="D133" i="15"/>
  <c r="F161" i="15"/>
  <c r="G149" i="16"/>
  <c r="G147" i="16"/>
  <c r="G121" i="16"/>
  <c r="G119" i="16"/>
  <c r="G93" i="16"/>
  <c r="G91" i="16"/>
  <c r="F9" i="16"/>
  <c r="O9" i="16"/>
  <c r="F21" i="16"/>
  <c r="O21" i="16"/>
  <c r="C23" i="16"/>
  <c r="F35" i="16"/>
  <c r="F37" i="16"/>
  <c r="C49" i="16"/>
  <c r="C51" i="16"/>
  <c r="F63" i="16"/>
  <c r="F65" i="16"/>
  <c r="C77" i="16"/>
  <c r="F91" i="16"/>
  <c r="F93" i="16"/>
  <c r="F119" i="16"/>
  <c r="F121" i="16"/>
  <c r="F147" i="16"/>
  <c r="F149" i="16"/>
  <c r="I7" i="17"/>
  <c r="K7" i="17"/>
  <c r="S21" i="17"/>
  <c r="S9" i="17"/>
  <c r="F34" i="18"/>
  <c r="G21" i="15"/>
  <c r="F49" i="15"/>
  <c r="G63" i="15"/>
  <c r="C91" i="15"/>
  <c r="D105" i="15"/>
  <c r="F133" i="15"/>
  <c r="G147" i="15"/>
  <c r="C149" i="16"/>
  <c r="C147" i="16"/>
  <c r="C121" i="16"/>
  <c r="C119" i="16"/>
  <c r="C93" i="16"/>
  <c r="C91" i="16"/>
  <c r="E23" i="16"/>
  <c r="E49" i="16"/>
  <c r="E51" i="16"/>
  <c r="E77" i="16"/>
  <c r="C79" i="16"/>
  <c r="C105" i="16"/>
  <c r="C107" i="16"/>
  <c r="C133" i="16"/>
  <c r="C135" i="16"/>
  <c r="C161" i="16"/>
  <c r="D149" i="17"/>
  <c r="D147" i="17"/>
  <c r="D121" i="17"/>
  <c r="D119" i="17"/>
  <c r="D93" i="17"/>
  <c r="D91" i="17"/>
  <c r="D65" i="17"/>
  <c r="D63" i="17"/>
  <c r="D37" i="17"/>
  <c r="D35" i="17"/>
  <c r="D21" i="17"/>
  <c r="D9" i="17"/>
  <c r="D49" i="17"/>
  <c r="D79" i="17"/>
  <c r="D105" i="17"/>
  <c r="D135" i="17"/>
  <c r="D161" i="17"/>
  <c r="F134" i="18"/>
  <c r="F104" i="18"/>
  <c r="F148" i="18"/>
  <c r="F118" i="18"/>
  <c r="F146" i="18"/>
  <c r="F92" i="18"/>
  <c r="F160" i="18"/>
  <c r="F106" i="18"/>
  <c r="F120" i="18"/>
  <c r="F90" i="18"/>
  <c r="F36" i="18"/>
  <c r="F50" i="18"/>
  <c r="F20" i="18"/>
  <c r="F132" i="18"/>
  <c r="F48" i="18"/>
  <c r="F62" i="18"/>
  <c r="F8" i="18"/>
  <c r="F22" i="18"/>
  <c r="F76" i="18"/>
  <c r="F35" i="15"/>
  <c r="G49" i="15"/>
  <c r="C77" i="15"/>
  <c r="D91" i="15"/>
  <c r="F119" i="15"/>
  <c r="G133" i="15"/>
  <c r="C161" i="15"/>
  <c r="D161" i="16"/>
  <c r="D135" i="16"/>
  <c r="D133" i="16"/>
  <c r="D107" i="16"/>
  <c r="D105" i="16"/>
  <c r="D79" i="16"/>
  <c r="C9" i="16"/>
  <c r="R9" i="16"/>
  <c r="C21" i="16"/>
  <c r="R21" i="16"/>
  <c r="F23" i="16"/>
  <c r="C35" i="16"/>
  <c r="C37" i="16"/>
  <c r="F49" i="16"/>
  <c r="F51" i="16"/>
  <c r="C63" i="16"/>
  <c r="C65" i="16"/>
  <c r="F77" i="16"/>
  <c r="G79" i="16"/>
  <c r="G105" i="16"/>
  <c r="G107" i="16"/>
  <c r="G133" i="16"/>
  <c r="G135" i="16"/>
  <c r="G161" i="16"/>
  <c r="G23" i="17"/>
  <c r="G49" i="17"/>
  <c r="G51" i="17"/>
  <c r="G77" i="17"/>
  <c r="G79" i="17"/>
  <c r="G105" i="17"/>
  <c r="G107" i="17"/>
  <c r="G133" i="17"/>
  <c r="G135" i="17"/>
  <c r="G161" i="17"/>
  <c r="C146" i="18"/>
  <c r="C92" i="18"/>
  <c r="C160" i="18"/>
  <c r="C106" i="18"/>
  <c r="C76" i="18"/>
  <c r="C134" i="18"/>
  <c r="C104" i="18"/>
  <c r="C148" i="18"/>
  <c r="C118" i="18"/>
  <c r="C132" i="18"/>
  <c r="C78" i="18"/>
  <c r="I6" i="18"/>
  <c r="O146" i="18"/>
  <c r="O92" i="18"/>
  <c r="O160" i="18"/>
  <c r="O106" i="18"/>
  <c r="O76" i="18"/>
  <c r="O134" i="18"/>
  <c r="O104" i="18"/>
  <c r="O148" i="18"/>
  <c r="O118" i="18"/>
  <c r="O132" i="18"/>
  <c r="O78" i="18"/>
  <c r="U146" i="18"/>
  <c r="U92" i="18"/>
  <c r="U160" i="18"/>
  <c r="U106" i="18"/>
  <c r="U76" i="18"/>
  <c r="U134" i="18"/>
  <c r="U104" i="18"/>
  <c r="U148" i="18"/>
  <c r="U118" i="18"/>
  <c r="U132" i="18"/>
  <c r="U78" i="18"/>
  <c r="E8" i="18"/>
  <c r="K8" i="18"/>
  <c r="N20" i="18"/>
  <c r="T20" i="18"/>
  <c r="C34" i="18"/>
  <c r="O34" i="18"/>
  <c r="U34" i="18"/>
  <c r="G36" i="18"/>
  <c r="M36" i="18"/>
  <c r="S36" i="18"/>
  <c r="D48" i="18"/>
  <c r="V48" i="18"/>
  <c r="N50" i="18"/>
  <c r="T50" i="18"/>
  <c r="E62" i="18"/>
  <c r="K62" i="18"/>
  <c r="C64" i="18"/>
  <c r="O64" i="18"/>
  <c r="U64" i="18"/>
  <c r="N76" i="18"/>
  <c r="M92" i="18"/>
  <c r="E118" i="18"/>
  <c r="S146" i="18"/>
  <c r="E148" i="18"/>
  <c r="U7" i="17"/>
  <c r="E9" i="17"/>
  <c r="E21" i="17"/>
  <c r="E35" i="17"/>
  <c r="E37" i="17"/>
  <c r="E63" i="17"/>
  <c r="E65" i="17"/>
  <c r="E91" i="17"/>
  <c r="E93" i="17"/>
  <c r="E119" i="17"/>
  <c r="E121" i="17"/>
  <c r="E147" i="17"/>
  <c r="E149" i="17"/>
  <c r="D160" i="18"/>
  <c r="D106" i="18"/>
  <c r="D76" i="18"/>
  <c r="D120" i="18"/>
  <c r="D90" i="18"/>
  <c r="D148" i="18"/>
  <c r="D118" i="18"/>
  <c r="D132" i="18"/>
  <c r="D78" i="18"/>
  <c r="D146" i="18"/>
  <c r="D92" i="18"/>
  <c r="V160" i="18"/>
  <c r="V106" i="18"/>
  <c r="V76" i="18"/>
  <c r="V120" i="18"/>
  <c r="V90" i="18"/>
  <c r="V148" i="18"/>
  <c r="V118" i="18"/>
  <c r="V132" i="18"/>
  <c r="V78" i="18"/>
  <c r="V146" i="18"/>
  <c r="V92" i="18"/>
  <c r="G22" i="18"/>
  <c r="M22" i="18"/>
  <c r="S22" i="18"/>
  <c r="D34" i="18"/>
  <c r="V34" i="18"/>
  <c r="N36" i="18"/>
  <c r="T36" i="18"/>
  <c r="E48" i="18"/>
  <c r="K48" i="18"/>
  <c r="C50" i="18"/>
  <c r="O50" i="18"/>
  <c r="U50" i="18"/>
  <c r="D64" i="18"/>
  <c r="V64" i="18"/>
  <c r="S92" i="18"/>
  <c r="V104" i="18"/>
  <c r="K118" i="18"/>
  <c r="V134" i="18"/>
  <c r="N160" i="18"/>
  <c r="F9" i="17"/>
  <c r="O9" i="17"/>
  <c r="F21" i="17"/>
  <c r="O21" i="17"/>
  <c r="C23" i="17"/>
  <c r="F35" i="17"/>
  <c r="F37" i="17"/>
  <c r="C49" i="17"/>
  <c r="C51" i="17"/>
  <c r="F63" i="17"/>
  <c r="F65" i="17"/>
  <c r="C77" i="17"/>
  <c r="C79" i="17"/>
  <c r="F91" i="17"/>
  <c r="F93" i="17"/>
  <c r="C105" i="17"/>
  <c r="C107" i="17"/>
  <c r="F119" i="17"/>
  <c r="F121" i="17"/>
  <c r="C133" i="17"/>
  <c r="C135" i="17"/>
  <c r="F147" i="17"/>
  <c r="F149" i="17"/>
  <c r="C161" i="17"/>
  <c r="E120" i="18"/>
  <c r="E90" i="18"/>
  <c r="E134" i="18"/>
  <c r="E104" i="18"/>
  <c r="E132" i="18"/>
  <c r="E78" i="18"/>
  <c r="E146" i="18"/>
  <c r="E92" i="18"/>
  <c r="E160" i="18"/>
  <c r="E106" i="18"/>
  <c r="E76" i="18"/>
  <c r="K120" i="18"/>
  <c r="K90" i="18"/>
  <c r="K134" i="18"/>
  <c r="K104" i="18"/>
  <c r="K132" i="18"/>
  <c r="K78" i="18"/>
  <c r="K146" i="18"/>
  <c r="K92" i="18"/>
  <c r="K160" i="18"/>
  <c r="K106" i="18"/>
  <c r="K76" i="18"/>
  <c r="Q6" i="18"/>
  <c r="G8" i="18"/>
  <c r="M8" i="18"/>
  <c r="S8" i="18"/>
  <c r="D20" i="18"/>
  <c r="V20" i="18"/>
  <c r="N22" i="18"/>
  <c r="T22" i="18"/>
  <c r="E34" i="18"/>
  <c r="K34" i="18"/>
  <c r="C36" i="18"/>
  <c r="O36" i="18"/>
  <c r="U36" i="18"/>
  <c r="D50" i="18"/>
  <c r="V50" i="18"/>
  <c r="G62" i="18"/>
  <c r="M62" i="18"/>
  <c r="S62" i="18"/>
  <c r="E64" i="18"/>
  <c r="K64" i="18"/>
  <c r="T76" i="18"/>
  <c r="C90" i="18"/>
  <c r="N106" i="18"/>
  <c r="C120" i="18"/>
  <c r="T160" i="18"/>
  <c r="N161" i="19"/>
  <c r="N149" i="19"/>
  <c r="N147" i="19"/>
  <c r="N135" i="19"/>
  <c r="N133" i="19"/>
  <c r="N121" i="19"/>
  <c r="N119" i="19"/>
  <c r="N107" i="19"/>
  <c r="N105" i="19"/>
  <c r="N93" i="19"/>
  <c r="N91" i="19"/>
  <c r="N79" i="19"/>
  <c r="N77" i="19"/>
  <c r="N65" i="19"/>
  <c r="N63" i="19"/>
  <c r="N51" i="19"/>
  <c r="N49" i="19"/>
  <c r="N37" i="19"/>
  <c r="N35" i="19"/>
  <c r="N23" i="19"/>
  <c r="N21" i="19"/>
  <c r="N9" i="19"/>
  <c r="M7" i="19"/>
  <c r="E23" i="17"/>
  <c r="E49" i="17"/>
  <c r="E51" i="17"/>
  <c r="E77" i="17"/>
  <c r="E79" i="17"/>
  <c r="E105" i="17"/>
  <c r="E107" i="17"/>
  <c r="E133" i="17"/>
  <c r="E135" i="17"/>
  <c r="E161" i="17"/>
  <c r="G148" i="18"/>
  <c r="G118" i="18"/>
  <c r="G132" i="18"/>
  <c r="G78" i="18"/>
  <c r="G160" i="18"/>
  <c r="G106" i="18"/>
  <c r="G76" i="18"/>
  <c r="G120" i="18"/>
  <c r="G90" i="18"/>
  <c r="G134" i="18"/>
  <c r="G104" i="18"/>
  <c r="M148" i="18"/>
  <c r="M118" i="18"/>
  <c r="M132" i="18"/>
  <c r="M78" i="18"/>
  <c r="M160" i="18"/>
  <c r="M106" i="18"/>
  <c r="M76" i="18"/>
  <c r="M120" i="18"/>
  <c r="M90" i="18"/>
  <c r="M134" i="18"/>
  <c r="M104" i="18"/>
  <c r="S148" i="18"/>
  <c r="S118" i="18"/>
  <c r="S132" i="18"/>
  <c r="S78" i="18"/>
  <c r="S160" i="18"/>
  <c r="S106" i="18"/>
  <c r="S76" i="18"/>
  <c r="S120" i="18"/>
  <c r="S90" i="18"/>
  <c r="S134" i="18"/>
  <c r="S104" i="18"/>
  <c r="Y6" i="18"/>
  <c r="C8" i="18"/>
  <c r="O8" i="18"/>
  <c r="U8" i="18"/>
  <c r="D22" i="18"/>
  <c r="V22" i="18"/>
  <c r="G34" i="18"/>
  <c r="M34" i="18"/>
  <c r="S34" i="18"/>
  <c r="E36" i="18"/>
  <c r="K36" i="18"/>
  <c r="N48" i="18"/>
  <c r="T48" i="18"/>
  <c r="C62" i="18"/>
  <c r="O62" i="18"/>
  <c r="U62" i="18"/>
  <c r="G64" i="18"/>
  <c r="M64" i="18"/>
  <c r="S64" i="18"/>
  <c r="O90" i="18"/>
  <c r="D104" i="18"/>
  <c r="O120" i="18"/>
  <c r="D134" i="18"/>
  <c r="G146" i="18"/>
  <c r="V161" i="19"/>
  <c r="V149" i="19"/>
  <c r="V119" i="19"/>
  <c r="V107" i="19"/>
  <c r="V77" i="19"/>
  <c r="V65" i="19"/>
  <c r="V147" i="19"/>
  <c r="V135" i="19"/>
  <c r="V105" i="19"/>
  <c r="V93" i="19"/>
  <c r="V63" i="19"/>
  <c r="V51" i="19"/>
  <c r="U7" i="19"/>
  <c r="V133" i="19"/>
  <c r="V121" i="19"/>
  <c r="V91" i="19"/>
  <c r="V79" i="19"/>
  <c r="C65" i="17"/>
  <c r="F77" i="17"/>
  <c r="F79" i="17"/>
  <c r="C91" i="17"/>
  <c r="C93" i="17"/>
  <c r="F105" i="17"/>
  <c r="F107" i="17"/>
  <c r="C119" i="17"/>
  <c r="C121" i="17"/>
  <c r="F133" i="17"/>
  <c r="F135" i="17"/>
  <c r="C147" i="17"/>
  <c r="C149" i="17"/>
  <c r="F161" i="17"/>
  <c r="N132" i="18"/>
  <c r="N78" i="18"/>
  <c r="N146" i="18"/>
  <c r="N92" i="18"/>
  <c r="N120" i="18"/>
  <c r="N90" i="18"/>
  <c r="N134" i="18"/>
  <c r="N104" i="18"/>
  <c r="N148" i="18"/>
  <c r="N118" i="18"/>
  <c r="T132" i="18"/>
  <c r="T78" i="18"/>
  <c r="T146" i="18"/>
  <c r="T92" i="18"/>
  <c r="T120" i="18"/>
  <c r="T90" i="18"/>
  <c r="T134" i="18"/>
  <c r="T104" i="18"/>
  <c r="T148" i="18"/>
  <c r="T118" i="18"/>
  <c r="D8" i="18"/>
  <c r="V8" i="18"/>
  <c r="G20" i="18"/>
  <c r="M20" i="18"/>
  <c r="S20" i="18"/>
  <c r="E22" i="18"/>
  <c r="K22" i="18"/>
  <c r="N34" i="18"/>
  <c r="T34" i="18"/>
  <c r="C48" i="18"/>
  <c r="O48" i="18"/>
  <c r="U48" i="18"/>
  <c r="G50" i="18"/>
  <c r="M50" i="18"/>
  <c r="S50" i="18"/>
  <c r="D62" i="18"/>
  <c r="V62" i="18"/>
  <c r="N64" i="18"/>
  <c r="T64" i="18"/>
  <c r="U90" i="18"/>
  <c r="G92" i="18"/>
  <c r="U120" i="18"/>
  <c r="M146" i="18"/>
  <c r="S21" i="22"/>
  <c r="M22" i="21"/>
  <c r="E78" i="21"/>
  <c r="E148" i="21"/>
  <c r="E120" i="21"/>
  <c r="E64" i="21"/>
  <c r="E22" i="21"/>
  <c r="E50" i="21"/>
  <c r="E106" i="21"/>
  <c r="E92" i="21"/>
  <c r="E162" i="21"/>
  <c r="R8" i="21"/>
  <c r="Q8" i="21"/>
  <c r="E36" i="21"/>
  <c r="E134" i="21"/>
  <c r="K253" i="24"/>
  <c r="K183" i="24"/>
  <c r="K73" i="24"/>
  <c r="K205" i="24"/>
  <c r="K139" i="24"/>
  <c r="K29" i="24"/>
  <c r="I7" i="24"/>
  <c r="L8" i="24" s="1"/>
  <c r="K51" i="24"/>
  <c r="K117" i="24"/>
  <c r="K227" i="24"/>
  <c r="K161" i="24"/>
  <c r="K95" i="24"/>
  <c r="F7" i="19"/>
  <c r="H7" i="19" s="1"/>
  <c r="R7" i="19"/>
  <c r="X7" i="19"/>
  <c r="F105" i="22"/>
  <c r="F77" i="22"/>
  <c r="F133" i="22"/>
  <c r="F49" i="22"/>
  <c r="F91" i="22"/>
  <c r="F147" i="22"/>
  <c r="F119" i="22"/>
  <c r="F108" i="25"/>
  <c r="F109" i="25"/>
  <c r="F106" i="25"/>
  <c r="F105" i="25"/>
  <c r="F104" i="25"/>
  <c r="F103" i="25"/>
  <c r="F102" i="25"/>
  <c r="F101" i="25"/>
  <c r="F100" i="25"/>
  <c r="F99" i="25"/>
  <c r="F98" i="25"/>
  <c r="F97" i="25"/>
  <c r="F107" i="25"/>
  <c r="F134" i="21"/>
  <c r="F106" i="21"/>
  <c r="O22" i="21"/>
  <c r="C36" i="21"/>
  <c r="F78" i="21"/>
  <c r="D106" i="21"/>
  <c r="C120" i="21"/>
  <c r="F162" i="21"/>
  <c r="G133" i="22"/>
  <c r="G91" i="22"/>
  <c r="G147" i="22"/>
  <c r="G105" i="22"/>
  <c r="G63" i="22"/>
  <c r="G49" i="22"/>
  <c r="G161" i="22"/>
  <c r="G119" i="22"/>
  <c r="G35" i="22"/>
  <c r="F63" i="22"/>
  <c r="D133" i="22"/>
  <c r="D36" i="21"/>
  <c r="C50" i="21"/>
  <c r="F92" i="21"/>
  <c r="D120" i="21"/>
  <c r="C134" i="21"/>
  <c r="D148" i="21"/>
  <c r="D119" i="22"/>
  <c r="C92" i="21"/>
  <c r="C148" i="21"/>
  <c r="I8" i="21"/>
  <c r="D22" i="21"/>
  <c r="L22" i="21"/>
  <c r="F36" i="21"/>
  <c r="D64" i="21"/>
  <c r="D147" i="22"/>
  <c r="D77" i="22"/>
  <c r="D35" i="22"/>
  <c r="D161" i="22"/>
  <c r="D49" i="22"/>
  <c r="D91" i="22"/>
  <c r="D63" i="22"/>
  <c r="D21" i="22"/>
  <c r="F35" i="22"/>
  <c r="D162" i="21"/>
  <c r="D78" i="21"/>
  <c r="D134" i="21"/>
  <c r="F50" i="21"/>
  <c r="C78" i="21"/>
  <c r="C162" i="21"/>
  <c r="X7" i="22"/>
  <c r="W7" i="22"/>
  <c r="F21" i="22"/>
  <c r="F161" i="22"/>
  <c r="J241" i="24"/>
  <c r="H240" i="24"/>
  <c r="L239" i="24"/>
  <c r="J238" i="24"/>
  <c r="J237" i="24"/>
  <c r="J236" i="24"/>
  <c r="J235" i="24"/>
  <c r="J234" i="24"/>
  <c r="J233" i="24"/>
  <c r="J232" i="24"/>
  <c r="J231" i="24"/>
  <c r="J230" i="24"/>
  <c r="J229" i="24"/>
  <c r="L241" i="24"/>
  <c r="J240" i="24"/>
  <c r="H239" i="24"/>
  <c r="L238" i="24"/>
  <c r="L237" i="24"/>
  <c r="L236" i="24"/>
  <c r="L235" i="24"/>
  <c r="L234" i="24"/>
  <c r="L233" i="24"/>
  <c r="L232" i="24"/>
  <c r="L231" i="24"/>
  <c r="L230" i="24"/>
  <c r="L229" i="24"/>
  <c r="H230" i="24"/>
  <c r="N231" i="24"/>
  <c r="H233" i="24"/>
  <c r="N234" i="24"/>
  <c r="H236" i="24"/>
  <c r="N237" i="24"/>
  <c r="J239" i="24"/>
  <c r="H241" i="24"/>
  <c r="H21" i="22"/>
  <c r="Q21" i="22"/>
  <c r="H77" i="22"/>
  <c r="N83" i="24"/>
  <c r="N82" i="24"/>
  <c r="N81" i="24"/>
  <c r="N80" i="24"/>
  <c r="N79" i="24"/>
  <c r="N78" i="24"/>
  <c r="N77" i="24"/>
  <c r="N76" i="24"/>
  <c r="N75" i="24"/>
  <c r="L52" i="25"/>
  <c r="E146" i="26"/>
  <c r="E118" i="26"/>
  <c r="E90" i="26"/>
  <c r="E62" i="26"/>
  <c r="E34" i="26"/>
  <c r="E132" i="26"/>
  <c r="E76" i="26"/>
  <c r="E160" i="26"/>
  <c r="E104" i="26"/>
  <c r="E48" i="26"/>
  <c r="E20" i="26"/>
  <c r="C147" i="22"/>
  <c r="C105" i="22"/>
  <c r="C63" i="22"/>
  <c r="C161" i="22"/>
  <c r="C119" i="22"/>
  <c r="C77" i="22"/>
  <c r="C21" i="22"/>
  <c r="R21" i="22"/>
  <c r="H35" i="22"/>
  <c r="E63" i="22"/>
  <c r="C133" i="22"/>
  <c r="H147" i="22"/>
  <c r="J175" i="24"/>
  <c r="H174" i="24"/>
  <c r="L173" i="24"/>
  <c r="J172" i="24"/>
  <c r="J171" i="24"/>
  <c r="J170" i="24"/>
  <c r="J169" i="24"/>
  <c r="J168" i="24"/>
  <c r="J167" i="24"/>
  <c r="J166" i="24"/>
  <c r="J165" i="24"/>
  <c r="J164" i="24"/>
  <c r="J163" i="24"/>
  <c r="L175" i="24"/>
  <c r="J174" i="24"/>
  <c r="H173" i="24"/>
  <c r="L172" i="24"/>
  <c r="L171" i="24"/>
  <c r="L170" i="24"/>
  <c r="L169" i="24"/>
  <c r="L168" i="24"/>
  <c r="L167" i="24"/>
  <c r="L166" i="24"/>
  <c r="L165" i="24"/>
  <c r="L164" i="24"/>
  <c r="L163" i="24"/>
  <c r="H164" i="24"/>
  <c r="N165" i="24"/>
  <c r="H167" i="24"/>
  <c r="N168" i="24"/>
  <c r="H170" i="24"/>
  <c r="N171" i="24"/>
  <c r="J173" i="24"/>
  <c r="H175" i="24"/>
  <c r="H229" i="24"/>
  <c r="N230" i="24"/>
  <c r="H232" i="24"/>
  <c r="N233" i="24"/>
  <c r="H235" i="24"/>
  <c r="N236" i="24"/>
  <c r="H238" i="24"/>
  <c r="N74" i="25"/>
  <c r="E161" i="22"/>
  <c r="E119" i="22"/>
  <c r="E77" i="22"/>
  <c r="E133" i="22"/>
  <c r="E91" i="22"/>
  <c r="K7" i="22"/>
  <c r="E21" i="22"/>
  <c r="T21" i="22"/>
  <c r="H63" i="22"/>
  <c r="E105" i="22"/>
  <c r="H163" i="24"/>
  <c r="N164" i="24"/>
  <c r="H166" i="24"/>
  <c r="N167" i="24"/>
  <c r="H169" i="24"/>
  <c r="N170" i="24"/>
  <c r="H172" i="24"/>
  <c r="N229" i="24"/>
  <c r="H231" i="24"/>
  <c r="N232" i="24"/>
  <c r="H234" i="24"/>
  <c r="N235" i="24"/>
  <c r="H237" i="24"/>
  <c r="L240" i="24"/>
  <c r="E51" i="25"/>
  <c r="C7" i="25"/>
  <c r="E95" i="25"/>
  <c r="E73" i="25"/>
  <c r="H8" i="25"/>
  <c r="H133" i="22"/>
  <c r="H161" i="22"/>
  <c r="G29" i="25"/>
  <c r="G95" i="25"/>
  <c r="G73" i="25"/>
  <c r="H74" i="25" s="1"/>
  <c r="G51" i="25"/>
  <c r="N8" i="24"/>
  <c r="M117" i="24"/>
  <c r="M183" i="24"/>
  <c r="M253" i="24"/>
  <c r="L8" i="25"/>
  <c r="I29" i="25"/>
  <c r="J258" i="24"/>
  <c r="J259" i="24"/>
  <c r="J260" i="24"/>
  <c r="J261" i="24"/>
  <c r="J262" i="24"/>
  <c r="J263" i="24"/>
  <c r="J264" i="24"/>
  <c r="L265" i="24"/>
  <c r="H266" i="24"/>
  <c r="J267" i="24"/>
  <c r="N8" i="25"/>
  <c r="K29" i="25"/>
  <c r="I51" i="25"/>
  <c r="C146" i="26"/>
  <c r="C118" i="26"/>
  <c r="C90" i="26"/>
  <c r="C62" i="26"/>
  <c r="C160" i="26"/>
  <c r="C132" i="26"/>
  <c r="C104" i="26"/>
  <c r="C76" i="26"/>
  <c r="C48" i="26"/>
  <c r="I6" i="26"/>
  <c r="F20" i="26"/>
  <c r="G34" i="27"/>
  <c r="M51" i="24"/>
  <c r="M139" i="24"/>
  <c r="M29" i="25"/>
  <c r="I73" i="25"/>
  <c r="D146" i="26"/>
  <c r="D118" i="26"/>
  <c r="D90" i="26"/>
  <c r="D62" i="26"/>
  <c r="D34" i="26"/>
  <c r="D160" i="26"/>
  <c r="D132" i="26"/>
  <c r="D104" i="26"/>
  <c r="D76" i="26"/>
  <c r="D48" i="26"/>
  <c r="G20" i="26"/>
  <c r="G160" i="27"/>
  <c r="G132" i="27"/>
  <c r="G104" i="27"/>
  <c r="G76" i="27"/>
  <c r="G146" i="27"/>
  <c r="G118" i="27"/>
  <c r="G90" i="27"/>
  <c r="G62" i="27"/>
  <c r="G48" i="27"/>
  <c r="G20" i="27"/>
  <c r="J6" i="27"/>
  <c r="F160" i="26"/>
  <c r="F132" i="26"/>
  <c r="F104" i="26"/>
  <c r="F76" i="26"/>
  <c r="F48" i="26"/>
  <c r="F146" i="26"/>
  <c r="F118" i="26"/>
  <c r="F90" i="26"/>
  <c r="F62" i="26"/>
  <c r="F34" i="26"/>
  <c r="L266" i="24"/>
  <c r="H267" i="24"/>
  <c r="G160" i="26"/>
  <c r="G132" i="26"/>
  <c r="G104" i="26"/>
  <c r="G76" i="26"/>
  <c r="G48" i="26"/>
  <c r="G146" i="26"/>
  <c r="G118" i="26"/>
  <c r="G90" i="26"/>
  <c r="G62" i="26"/>
  <c r="G34" i="26"/>
  <c r="D20" i="26"/>
  <c r="D146" i="27"/>
  <c r="D118" i="27"/>
  <c r="D90" i="27"/>
  <c r="D62" i="27"/>
  <c r="D34" i="27"/>
  <c r="D76" i="27"/>
  <c r="D104" i="27"/>
  <c r="D132" i="27"/>
  <c r="D160" i="27"/>
  <c r="E160" i="27"/>
  <c r="E132" i="27"/>
  <c r="E104" i="27"/>
  <c r="E76" i="27"/>
  <c r="E146" i="27"/>
  <c r="E118" i="27"/>
  <c r="E90" i="27"/>
  <c r="E62" i="27"/>
  <c r="E34" i="27"/>
  <c r="F76" i="27"/>
  <c r="F104" i="27"/>
  <c r="F132" i="27"/>
  <c r="F160" i="27"/>
  <c r="F90" i="28"/>
  <c r="F104" i="28"/>
  <c r="F132" i="28"/>
  <c r="F146" i="28"/>
  <c r="F160" i="28"/>
  <c r="F118" i="28"/>
  <c r="F20" i="28"/>
  <c r="F48" i="28"/>
  <c r="F62" i="28"/>
  <c r="F76" i="28"/>
  <c r="F146" i="27"/>
  <c r="F118" i="27"/>
  <c r="F90" i="27"/>
  <c r="F62" i="27"/>
  <c r="C20" i="27"/>
  <c r="F34" i="27"/>
  <c r="C48" i="27"/>
  <c r="E20" i="27"/>
  <c r="E48" i="27"/>
  <c r="C160" i="27"/>
  <c r="C132" i="27"/>
  <c r="C104" i="27"/>
  <c r="C76" i="27"/>
  <c r="I6" i="27"/>
  <c r="F20" i="27"/>
  <c r="C34" i="27"/>
  <c r="F48" i="27"/>
  <c r="C132" i="28"/>
  <c r="C146" i="28"/>
  <c r="C104" i="28"/>
  <c r="C118" i="28"/>
  <c r="I6" i="28"/>
  <c r="C34" i="28"/>
  <c r="D48" i="28"/>
  <c r="E62" i="28"/>
  <c r="E90" i="28"/>
  <c r="J85" i="30"/>
  <c r="J63" i="30"/>
  <c r="J64" i="30"/>
  <c r="J87" i="30"/>
  <c r="J84" i="30"/>
  <c r="J83" i="30"/>
  <c r="J82" i="30"/>
  <c r="J81" i="30"/>
  <c r="J80" i="30"/>
  <c r="J79" i="30"/>
  <c r="J78" i="30"/>
  <c r="J77" i="30"/>
  <c r="J76" i="30"/>
  <c r="J75" i="30"/>
  <c r="J65" i="30"/>
  <c r="J62" i="30"/>
  <c r="J61" i="30"/>
  <c r="J60" i="30"/>
  <c r="J59" i="30"/>
  <c r="J58" i="30"/>
  <c r="J57" i="30"/>
  <c r="J56" i="30"/>
  <c r="J55" i="30"/>
  <c r="J54" i="30"/>
  <c r="J53" i="30"/>
  <c r="D146" i="28"/>
  <c r="D160" i="28"/>
  <c r="D104" i="28"/>
  <c r="D118" i="28"/>
  <c r="D132" i="28"/>
  <c r="J6" i="28"/>
  <c r="D34" i="28"/>
  <c r="E48" i="28"/>
  <c r="G76" i="28"/>
  <c r="G90" i="28"/>
  <c r="E104" i="28"/>
  <c r="E160" i="28"/>
  <c r="E118" i="28"/>
  <c r="E132" i="28"/>
  <c r="E146" i="28"/>
  <c r="K6" i="28"/>
  <c r="D20" i="28"/>
  <c r="E34" i="28"/>
  <c r="G62" i="28"/>
  <c r="G104" i="28"/>
  <c r="G118" i="28"/>
  <c r="G146" i="28"/>
  <c r="G160" i="28"/>
  <c r="M6" i="28"/>
  <c r="G34" i="28"/>
  <c r="C62" i="28"/>
  <c r="D76" i="28"/>
  <c r="C90" i="28"/>
  <c r="G132" i="28"/>
  <c r="D62" i="28"/>
  <c r="E76" i="28"/>
  <c r="D90" i="28"/>
  <c r="N30" i="30"/>
  <c r="J86" i="30"/>
  <c r="H96" i="30"/>
  <c r="D52" i="30"/>
  <c r="L63" i="30"/>
  <c r="H64" i="30"/>
  <c r="N74" i="30"/>
  <c r="N140" i="30"/>
  <c r="J162" i="30"/>
  <c r="F184" i="30"/>
  <c r="N206" i="30"/>
  <c r="F250" i="30"/>
  <c r="F52" i="30"/>
  <c r="F85" i="30"/>
  <c r="L85" i="30"/>
  <c r="H86" i="30"/>
  <c r="J74" i="33"/>
  <c r="H52" i="30"/>
  <c r="L53" i="30"/>
  <c r="L54" i="30"/>
  <c r="L55" i="30"/>
  <c r="L56" i="30"/>
  <c r="L57" i="30"/>
  <c r="L58" i="30"/>
  <c r="L59" i="30"/>
  <c r="L60" i="30"/>
  <c r="L61" i="30"/>
  <c r="L62" i="30"/>
  <c r="H63" i="30"/>
  <c r="L65" i="30"/>
  <c r="F140" i="30"/>
  <c r="L52" i="30"/>
  <c r="H53" i="30"/>
  <c r="H54" i="30"/>
  <c r="H55" i="30"/>
  <c r="H56" i="30"/>
  <c r="H57" i="30"/>
  <c r="H58" i="30"/>
  <c r="H59" i="30"/>
  <c r="H60" i="30"/>
  <c r="H61" i="30"/>
  <c r="H62" i="30"/>
  <c r="L64" i="30"/>
  <c r="H65" i="30"/>
  <c r="J140" i="30"/>
  <c r="F162" i="30"/>
  <c r="N184" i="30"/>
  <c r="J206" i="30"/>
  <c r="J228" i="30"/>
  <c r="L8" i="31"/>
  <c r="N52" i="30"/>
  <c r="H75" i="30"/>
  <c r="N75" i="30"/>
  <c r="H76" i="30"/>
  <c r="N76" i="30"/>
  <c r="H77" i="30"/>
  <c r="N77" i="30"/>
  <c r="H78" i="30"/>
  <c r="N78" i="30"/>
  <c r="H79" i="30"/>
  <c r="N79" i="30"/>
  <c r="H80" i="30"/>
  <c r="N80" i="30"/>
  <c r="H81" i="30"/>
  <c r="N81" i="30"/>
  <c r="H82" i="30"/>
  <c r="N82" i="30"/>
  <c r="H83" i="30"/>
  <c r="H84" i="30"/>
  <c r="J118" i="30"/>
  <c r="H107" i="31"/>
  <c r="H108" i="31"/>
  <c r="H109" i="31"/>
  <c r="H106" i="31"/>
  <c r="H105" i="31"/>
  <c r="H104" i="31"/>
  <c r="H103" i="31"/>
  <c r="H102" i="31"/>
  <c r="H101" i="31"/>
  <c r="H100" i="31"/>
  <c r="H99" i="31"/>
  <c r="H98" i="31"/>
  <c r="H97" i="31"/>
  <c r="H43" i="31"/>
  <c r="H40" i="31"/>
  <c r="H39" i="31"/>
  <c r="H38" i="31"/>
  <c r="H37" i="31"/>
  <c r="H36" i="31"/>
  <c r="H35" i="31"/>
  <c r="H34" i="31"/>
  <c r="H33" i="31"/>
  <c r="H32" i="31"/>
  <c r="H31" i="31"/>
  <c r="H63" i="31"/>
  <c r="H85" i="31"/>
  <c r="H64" i="31"/>
  <c r="H86" i="31"/>
  <c r="H84" i="31"/>
  <c r="H83" i="31"/>
  <c r="H82" i="31"/>
  <c r="H81" i="31"/>
  <c r="H80" i="31"/>
  <c r="H79" i="31"/>
  <c r="H78" i="31"/>
  <c r="H77" i="31"/>
  <c r="H76" i="31"/>
  <c r="H75" i="31"/>
  <c r="H42" i="31"/>
  <c r="H87" i="31"/>
  <c r="H65" i="31"/>
  <c r="H62" i="31"/>
  <c r="H61" i="31"/>
  <c r="H60" i="31"/>
  <c r="H59" i="31"/>
  <c r="H58" i="31"/>
  <c r="H57" i="31"/>
  <c r="H56" i="31"/>
  <c r="H55" i="31"/>
  <c r="H54" i="31"/>
  <c r="H53" i="31"/>
  <c r="H41" i="31"/>
  <c r="M29" i="31"/>
  <c r="J63" i="31"/>
  <c r="F64" i="31"/>
  <c r="L64" i="31"/>
  <c r="F86" i="31"/>
  <c r="N256" i="30"/>
  <c r="H257" i="30"/>
  <c r="N257" i="30"/>
  <c r="H258" i="30"/>
  <c r="N258" i="30"/>
  <c r="H259" i="30"/>
  <c r="N259" i="30"/>
  <c r="H260" i="30"/>
  <c r="J261" i="30"/>
  <c r="F262" i="30"/>
  <c r="L262" i="30"/>
  <c r="H263" i="30"/>
  <c r="F273" i="30"/>
  <c r="L273" i="30"/>
  <c r="F274" i="30"/>
  <c r="L274" i="30"/>
  <c r="F275" i="30"/>
  <c r="L275" i="30"/>
  <c r="F276" i="30"/>
  <c r="L276" i="30"/>
  <c r="F277" i="30"/>
  <c r="L277" i="30"/>
  <c r="F278" i="30"/>
  <c r="L278" i="30"/>
  <c r="F279" i="30"/>
  <c r="L279" i="30"/>
  <c r="F280" i="30"/>
  <c r="L280" i="30"/>
  <c r="F281" i="30"/>
  <c r="L281" i="30"/>
  <c r="F282" i="30"/>
  <c r="L282" i="30"/>
  <c r="H283" i="30"/>
  <c r="J284" i="30"/>
  <c r="F285" i="30"/>
  <c r="L285" i="30"/>
  <c r="D30" i="31"/>
  <c r="J31" i="31"/>
  <c r="J32" i="31"/>
  <c r="J33" i="31"/>
  <c r="J34" i="31"/>
  <c r="J35" i="31"/>
  <c r="J36" i="31"/>
  <c r="J37" i="31"/>
  <c r="J38" i="31"/>
  <c r="J39" i="31"/>
  <c r="J40" i="31"/>
  <c r="F41" i="31"/>
  <c r="L41" i="31"/>
  <c r="J43" i="31"/>
  <c r="M51" i="31"/>
  <c r="N52" i="31" s="1"/>
  <c r="J87" i="31"/>
  <c r="H96" i="31"/>
  <c r="F109" i="31"/>
  <c r="F106" i="31"/>
  <c r="F105" i="31"/>
  <c r="F104" i="31"/>
  <c r="F103" i="31"/>
  <c r="F102" i="31"/>
  <c r="F101" i="31"/>
  <c r="F100" i="31"/>
  <c r="F99" i="31"/>
  <c r="F98" i="31"/>
  <c r="F97" i="31"/>
  <c r="F107" i="31"/>
  <c r="F108" i="31"/>
  <c r="F30" i="31"/>
  <c r="J53" i="31"/>
  <c r="J54" i="31"/>
  <c r="J55" i="31"/>
  <c r="J56" i="31"/>
  <c r="J57" i="31"/>
  <c r="J58" i="31"/>
  <c r="J59" i="31"/>
  <c r="J60" i="31"/>
  <c r="J61" i="31"/>
  <c r="J62" i="31"/>
  <c r="F63" i="31"/>
  <c r="L63" i="31"/>
  <c r="J65" i="31"/>
  <c r="M73" i="31"/>
  <c r="N74" i="31" s="1"/>
  <c r="L87" i="31"/>
  <c r="J108" i="31"/>
  <c r="J109" i="31"/>
  <c r="J106" i="31"/>
  <c r="J105" i="31"/>
  <c r="J104" i="31"/>
  <c r="J103" i="31"/>
  <c r="J102" i="31"/>
  <c r="J101" i="31"/>
  <c r="J100" i="31"/>
  <c r="J99" i="31"/>
  <c r="J98" i="31"/>
  <c r="J97" i="31"/>
  <c r="J107" i="31"/>
  <c r="J30" i="31"/>
  <c r="F53" i="31"/>
  <c r="L53" i="31"/>
  <c r="F54" i="31"/>
  <c r="L54" i="31"/>
  <c r="F55" i="31"/>
  <c r="L55" i="31"/>
  <c r="F56" i="31"/>
  <c r="L56" i="31"/>
  <c r="F57" i="31"/>
  <c r="L57" i="31"/>
  <c r="F58" i="31"/>
  <c r="L58" i="31"/>
  <c r="F59" i="31"/>
  <c r="L59" i="31"/>
  <c r="F60" i="31"/>
  <c r="L60" i="31"/>
  <c r="F61" i="31"/>
  <c r="L61" i="31"/>
  <c r="F62" i="31"/>
  <c r="L62" i="31"/>
  <c r="J64" i="31"/>
  <c r="F65" i="31"/>
  <c r="L65" i="31"/>
  <c r="M95" i="31"/>
  <c r="N96" i="31" s="1"/>
  <c r="C109" i="33"/>
  <c r="C95" i="33"/>
  <c r="D96" i="33" s="1"/>
  <c r="C51" i="33"/>
  <c r="C87" i="33"/>
  <c r="C73" i="33"/>
  <c r="D74" i="33" s="1"/>
  <c r="C29" i="33"/>
  <c r="D8" i="33"/>
  <c r="H234" i="30"/>
  <c r="N234" i="30"/>
  <c r="H235" i="30"/>
  <c r="N235" i="30"/>
  <c r="H236" i="30"/>
  <c r="N236" i="30"/>
  <c r="H237" i="30"/>
  <c r="N237" i="30"/>
  <c r="H238" i="30"/>
  <c r="J239" i="30"/>
  <c r="F240" i="30"/>
  <c r="L240" i="30"/>
  <c r="H241" i="30"/>
  <c r="F251" i="30"/>
  <c r="L251" i="30"/>
  <c r="F252" i="30"/>
  <c r="L252" i="30"/>
  <c r="F253" i="30"/>
  <c r="L253" i="30"/>
  <c r="F254" i="30"/>
  <c r="L254" i="30"/>
  <c r="F255" i="30"/>
  <c r="L255" i="30"/>
  <c r="F256" i="30"/>
  <c r="L256" i="30"/>
  <c r="F257" i="30"/>
  <c r="L257" i="30"/>
  <c r="F258" i="30"/>
  <c r="L258" i="30"/>
  <c r="F259" i="30"/>
  <c r="L259" i="30"/>
  <c r="F260" i="30"/>
  <c r="L260" i="30"/>
  <c r="H261" i="30"/>
  <c r="J262" i="30"/>
  <c r="F263" i="30"/>
  <c r="J273" i="30"/>
  <c r="J274" i="30"/>
  <c r="J275" i="30"/>
  <c r="J276" i="30"/>
  <c r="J277" i="30"/>
  <c r="J278" i="30"/>
  <c r="J279" i="30"/>
  <c r="J280" i="30"/>
  <c r="J281" i="30"/>
  <c r="J282" i="30"/>
  <c r="F283" i="30"/>
  <c r="L283" i="30"/>
  <c r="H284" i="30"/>
  <c r="L109" i="31"/>
  <c r="L106" i="31"/>
  <c r="L105" i="31"/>
  <c r="L104" i="31"/>
  <c r="L103" i="31"/>
  <c r="L102" i="31"/>
  <c r="L101" i="31"/>
  <c r="L100" i="31"/>
  <c r="L99" i="31"/>
  <c r="L98" i="31"/>
  <c r="L97" i="31"/>
  <c r="L107" i="31"/>
  <c r="L108" i="31"/>
  <c r="L30" i="31"/>
  <c r="J41" i="31"/>
  <c r="F42" i="31"/>
  <c r="L42" i="31"/>
  <c r="F75" i="31"/>
  <c r="L75" i="31"/>
  <c r="F76" i="31"/>
  <c r="L76" i="31"/>
  <c r="F77" i="31"/>
  <c r="L77" i="31"/>
  <c r="F78" i="31"/>
  <c r="L78" i="31"/>
  <c r="F79" i="31"/>
  <c r="L79" i="31"/>
  <c r="F80" i="31"/>
  <c r="L80" i="31"/>
  <c r="F81" i="31"/>
  <c r="L81" i="31"/>
  <c r="F82" i="31"/>
  <c r="L82" i="31"/>
  <c r="F83" i="31"/>
  <c r="L83" i="31"/>
  <c r="F84" i="31"/>
  <c r="L84" i="31"/>
  <c r="F87" i="31"/>
  <c r="J104" i="33"/>
  <c r="J105" i="33"/>
  <c r="J102" i="33"/>
  <c r="J107" i="33"/>
  <c r="J103" i="33"/>
  <c r="J8" i="33"/>
  <c r="F32" i="33"/>
  <c r="L32" i="33"/>
  <c r="H34" i="33"/>
  <c r="J36" i="33"/>
  <c r="F38" i="33"/>
  <c r="L38" i="33"/>
  <c r="J40" i="33"/>
  <c r="J42" i="33"/>
  <c r="K51" i="33"/>
  <c r="J54" i="33"/>
  <c r="F56" i="33"/>
  <c r="L56" i="33"/>
  <c r="H58" i="33"/>
  <c r="J60" i="33"/>
  <c r="F62" i="33"/>
  <c r="L62" i="33"/>
  <c r="F64" i="33"/>
  <c r="L64" i="33"/>
  <c r="F76" i="33"/>
  <c r="L76" i="33"/>
  <c r="H78" i="33"/>
  <c r="J80" i="33"/>
  <c r="F82" i="33"/>
  <c r="H84" i="33"/>
  <c r="H86" i="33"/>
  <c r="G95" i="33"/>
  <c r="H98" i="33"/>
  <c r="N98" i="33"/>
  <c r="J100" i="33"/>
  <c r="F101" i="33"/>
  <c r="F102" i="33"/>
  <c r="N104" i="33"/>
  <c r="J108" i="33"/>
  <c r="I29" i="35"/>
  <c r="H29" i="35"/>
  <c r="L108" i="33"/>
  <c r="L106" i="33"/>
  <c r="L100" i="33"/>
  <c r="L107" i="33"/>
  <c r="L103" i="33"/>
  <c r="L104" i="33"/>
  <c r="L105" i="33"/>
  <c r="L8" i="33"/>
  <c r="H9" i="33"/>
  <c r="H10" i="33"/>
  <c r="H11" i="33"/>
  <c r="H12" i="33"/>
  <c r="H13" i="33"/>
  <c r="H14" i="33"/>
  <c r="H15" i="33"/>
  <c r="H16" i="33"/>
  <c r="H17" i="33"/>
  <c r="J18" i="33"/>
  <c r="F19" i="33"/>
  <c r="L19" i="33"/>
  <c r="H20" i="33"/>
  <c r="J21" i="33"/>
  <c r="E29" i="33"/>
  <c r="F31" i="33"/>
  <c r="L31" i="33"/>
  <c r="H33" i="33"/>
  <c r="J35" i="33"/>
  <c r="F37" i="33"/>
  <c r="L37" i="33"/>
  <c r="H39" i="33"/>
  <c r="H41" i="33"/>
  <c r="M51" i="33"/>
  <c r="J53" i="33"/>
  <c r="F55" i="33"/>
  <c r="L55" i="33"/>
  <c r="H57" i="33"/>
  <c r="J59" i="33"/>
  <c r="F61" i="33"/>
  <c r="L61" i="33"/>
  <c r="J63" i="33"/>
  <c r="E73" i="33"/>
  <c r="F74" i="33" s="1"/>
  <c r="H77" i="33"/>
  <c r="J79" i="33"/>
  <c r="F81" i="33"/>
  <c r="L81" i="33"/>
  <c r="H83" i="33"/>
  <c r="F85" i="33"/>
  <c r="L85" i="33"/>
  <c r="I95" i="33"/>
  <c r="J96" i="33" s="1"/>
  <c r="J99" i="33"/>
  <c r="H101" i="33"/>
  <c r="H103" i="33"/>
  <c r="N102" i="33"/>
  <c r="N105" i="33"/>
  <c r="N101" i="33"/>
  <c r="N8" i="33"/>
  <c r="G29" i="33"/>
  <c r="H32" i="33"/>
  <c r="J34" i="33"/>
  <c r="F36" i="33"/>
  <c r="L36" i="33"/>
  <c r="H38" i="33"/>
  <c r="F40" i="33"/>
  <c r="L40" i="33"/>
  <c r="F42" i="33"/>
  <c r="L42" i="33"/>
  <c r="F54" i="33"/>
  <c r="L54" i="33"/>
  <c r="H56" i="33"/>
  <c r="J58" i="33"/>
  <c r="F60" i="33"/>
  <c r="L60" i="33"/>
  <c r="H62" i="33"/>
  <c r="H64" i="33"/>
  <c r="G73" i="33"/>
  <c r="H76" i="33"/>
  <c r="J78" i="33"/>
  <c r="F80" i="33"/>
  <c r="L80" i="33"/>
  <c r="H82" i="33"/>
  <c r="J84" i="33"/>
  <c r="J86" i="33"/>
  <c r="K95" i="33"/>
  <c r="J98" i="33"/>
  <c r="J101" i="33"/>
  <c r="F108" i="33"/>
  <c r="F106" i="33"/>
  <c r="F107" i="33"/>
  <c r="F104" i="33"/>
  <c r="F105" i="33"/>
  <c r="F8" i="33"/>
  <c r="K29" i="33"/>
  <c r="J32" i="33"/>
  <c r="F34" i="33"/>
  <c r="L34" i="33"/>
  <c r="H36" i="33"/>
  <c r="J38" i="33"/>
  <c r="H40" i="33"/>
  <c r="H42" i="33"/>
  <c r="G51" i="33"/>
  <c r="H54" i="33"/>
  <c r="J56" i="33"/>
  <c r="F58" i="33"/>
  <c r="L58" i="33"/>
  <c r="H60" i="33"/>
  <c r="J62" i="33"/>
  <c r="J64" i="33"/>
  <c r="K73" i="33"/>
  <c r="L74" i="33" s="1"/>
  <c r="J76" i="33"/>
  <c r="F78" i="33"/>
  <c r="L78" i="33"/>
  <c r="H80" i="33"/>
  <c r="J82" i="33"/>
  <c r="F84" i="33"/>
  <c r="L84" i="33"/>
  <c r="F86" i="33"/>
  <c r="L86" i="33"/>
  <c r="F98" i="33"/>
  <c r="L98" i="33"/>
  <c r="H100" i="33"/>
  <c r="L101" i="33"/>
  <c r="H102" i="33"/>
  <c r="H107" i="33"/>
  <c r="H105" i="33"/>
  <c r="H108" i="33"/>
  <c r="H106" i="33"/>
  <c r="H8" i="33"/>
  <c r="L9" i="33"/>
  <c r="L10" i="33"/>
  <c r="L11" i="33"/>
  <c r="L12" i="33"/>
  <c r="L13" i="33"/>
  <c r="L14" i="33"/>
  <c r="L15" i="33"/>
  <c r="L16" i="33"/>
  <c r="F17" i="33"/>
  <c r="L17" i="33"/>
  <c r="H18" i="33"/>
  <c r="J19" i="33"/>
  <c r="F20" i="33"/>
  <c r="L20" i="33"/>
  <c r="H21" i="33"/>
  <c r="M29" i="33"/>
  <c r="J31" i="33"/>
  <c r="F33" i="33"/>
  <c r="L33" i="33"/>
  <c r="H35" i="33"/>
  <c r="J37" i="33"/>
  <c r="F39" i="33"/>
  <c r="L39" i="33"/>
  <c r="F41" i="33"/>
  <c r="L41" i="33"/>
  <c r="I51" i="33"/>
  <c r="H53" i="33"/>
  <c r="J55" i="33"/>
  <c r="F57" i="33"/>
  <c r="L57" i="33"/>
  <c r="H59" i="33"/>
  <c r="J61" i="33"/>
  <c r="H63" i="33"/>
  <c r="M73" i="33"/>
  <c r="F77" i="33"/>
  <c r="L77" i="33"/>
  <c r="H79" i="33"/>
  <c r="J81" i="33"/>
  <c r="F83" i="33"/>
  <c r="L83" i="33"/>
  <c r="J85" i="33"/>
  <c r="E95" i="33"/>
  <c r="F96" i="33" s="1"/>
  <c r="H99" i="33"/>
  <c r="N99" i="33"/>
  <c r="F103" i="33"/>
  <c r="F5" i="40"/>
  <c r="I5" i="40"/>
  <c r="F10" i="40"/>
  <c r="F9" i="40"/>
  <c r="H5" i="40"/>
  <c r="F8" i="40"/>
  <c r="F6" i="40"/>
  <c r="F7" i="40"/>
  <c r="AS7" i="35"/>
  <c r="W29" i="35"/>
  <c r="AK29" i="35"/>
  <c r="I5" i="36"/>
  <c r="AT7" i="35"/>
  <c r="AL29" i="35"/>
  <c r="J5" i="36"/>
  <c r="P5" i="36"/>
  <c r="AU7" i="35"/>
  <c r="H8" i="35"/>
  <c r="N8" i="35"/>
  <c r="V8" i="35"/>
  <c r="AB8" i="35"/>
  <c r="H9" i="35"/>
  <c r="N9" i="35"/>
  <c r="V9" i="35"/>
  <c r="AB9" i="35"/>
  <c r="H10" i="35"/>
  <c r="N10" i="35"/>
  <c r="V10" i="35"/>
  <c r="AB10" i="35"/>
  <c r="H11" i="35"/>
  <c r="N11" i="35"/>
  <c r="V11" i="35"/>
  <c r="AB11" i="35"/>
  <c r="H12" i="35"/>
  <c r="N12" i="35"/>
  <c r="V12" i="35"/>
  <c r="AB12" i="35"/>
  <c r="H13" i="35"/>
  <c r="N13" i="35"/>
  <c r="V13" i="35"/>
  <c r="AB13" i="35"/>
  <c r="H14" i="35"/>
  <c r="N14" i="35"/>
  <c r="V14" i="35"/>
  <c r="AB14" i="35"/>
  <c r="H15" i="35"/>
  <c r="N15" i="35"/>
  <c r="V15" i="35"/>
  <c r="AB15" i="35"/>
  <c r="H16" i="35"/>
  <c r="N16" i="35"/>
  <c r="V16" i="35"/>
  <c r="AB16" i="35"/>
  <c r="H17" i="35"/>
  <c r="N17" i="35"/>
  <c r="V17" i="35"/>
  <c r="AB17" i="35"/>
  <c r="Q5" i="36"/>
  <c r="AK7" i="35"/>
  <c r="J5" i="37"/>
  <c r="P5" i="37"/>
  <c r="P5" i="39"/>
  <c r="O5" i="39"/>
  <c r="S5" i="39"/>
  <c r="R5" i="39"/>
  <c r="Q5" i="39"/>
  <c r="M5" i="40"/>
  <c r="L5" i="40"/>
  <c r="N5" i="40"/>
  <c r="Q5" i="37"/>
  <c r="E129" i="39"/>
  <c r="H123" i="39"/>
  <c r="H133" i="41"/>
  <c r="M133" i="41"/>
  <c r="G133" i="41"/>
  <c r="I133" i="41"/>
  <c r="L133" i="41"/>
  <c r="I5" i="37"/>
  <c r="S5" i="42"/>
  <c r="K5" i="39"/>
  <c r="O133" i="40"/>
  <c r="P5" i="41"/>
  <c r="S5" i="41"/>
  <c r="R5" i="41"/>
  <c r="H5" i="42"/>
  <c r="J5" i="42"/>
  <c r="I5" i="42"/>
  <c r="L5" i="39"/>
  <c r="Q5" i="41"/>
  <c r="F7" i="41"/>
  <c r="F9" i="41"/>
  <c r="L5" i="42"/>
  <c r="N5" i="42"/>
  <c r="M5" i="42"/>
  <c r="Q5" i="42"/>
  <c r="I135" i="43"/>
  <c r="H135" i="43"/>
  <c r="G135" i="43"/>
  <c r="L135" i="43"/>
  <c r="G5" i="39"/>
  <c r="P5" i="40"/>
  <c r="H133" i="40"/>
  <c r="G133" i="40"/>
  <c r="H5" i="41"/>
  <c r="T5" i="41"/>
  <c r="L123" i="39"/>
  <c r="D129" i="39"/>
  <c r="R5" i="40"/>
  <c r="K133" i="40"/>
  <c r="N133" i="40"/>
  <c r="M133" i="40"/>
  <c r="M5" i="41"/>
  <c r="L5" i="41"/>
  <c r="F6" i="41"/>
  <c r="F8" i="41"/>
  <c r="F10" i="41"/>
  <c r="G123" i="39"/>
  <c r="M123" i="39"/>
  <c r="L133" i="40"/>
  <c r="N5" i="41"/>
  <c r="F15" i="43"/>
  <c r="F14" i="43"/>
  <c r="F13" i="43"/>
  <c r="F12" i="43"/>
  <c r="F11" i="43"/>
  <c r="F10" i="43"/>
  <c r="F9" i="43"/>
  <c r="F8" i="43"/>
  <c r="F7" i="43"/>
  <c r="F5" i="43"/>
  <c r="D146" i="43"/>
  <c r="K133" i="41"/>
  <c r="G133" i="42"/>
  <c r="P5" i="43"/>
  <c r="N5" i="43"/>
  <c r="M5" i="43"/>
  <c r="L5" i="43"/>
  <c r="R5" i="42"/>
  <c r="T5" i="42"/>
  <c r="F6" i="42"/>
  <c r="F7" i="42"/>
  <c r="F8" i="42"/>
  <c r="F9" i="42"/>
  <c r="F10" i="42"/>
  <c r="C16" i="43"/>
  <c r="S5" i="43"/>
  <c r="R5" i="43"/>
  <c r="H5" i="43"/>
  <c r="K135" i="43"/>
  <c r="O135" i="43"/>
  <c r="D146" i="44"/>
  <c r="H5" i="45"/>
  <c r="J5" i="45"/>
  <c r="I5" i="45"/>
  <c r="M5" i="45"/>
  <c r="L5" i="45"/>
  <c r="J5" i="43"/>
  <c r="M135" i="43"/>
  <c r="T5" i="44"/>
  <c r="R5" i="44"/>
  <c r="H5" i="44"/>
  <c r="P5" i="44"/>
  <c r="K135" i="44"/>
  <c r="N135" i="44"/>
  <c r="M135" i="44"/>
  <c r="L135" i="44"/>
  <c r="H135" i="45"/>
  <c r="I135" i="45"/>
  <c r="M135" i="45"/>
  <c r="L135" i="45"/>
  <c r="N5" i="44"/>
  <c r="L5" i="44"/>
  <c r="T5" i="45"/>
  <c r="Q5" i="45"/>
  <c r="P5" i="45"/>
  <c r="S5" i="45"/>
  <c r="H135" i="44"/>
  <c r="O135" i="45"/>
  <c r="K135" i="45"/>
  <c r="D146" i="45"/>
  <c r="J28" i="18" l="1"/>
  <c r="J41" i="18"/>
  <c r="J54" i="18"/>
  <c r="J94" i="18"/>
  <c r="H74" i="33"/>
  <c r="H96" i="33"/>
  <c r="K143" i="44"/>
  <c r="K142" i="44"/>
  <c r="J15" i="18"/>
  <c r="K139" i="44"/>
  <c r="J52" i="25"/>
  <c r="K138" i="44"/>
  <c r="H52" i="25"/>
  <c r="M139" i="45"/>
  <c r="L139" i="45"/>
  <c r="O139" i="45"/>
  <c r="N139" i="45"/>
  <c r="M142" i="45"/>
  <c r="O142" i="45"/>
  <c r="N142" i="45"/>
  <c r="L142" i="45"/>
  <c r="M136" i="45"/>
  <c r="O136" i="45"/>
  <c r="J146" i="45"/>
  <c r="N136" i="45"/>
  <c r="L136" i="45"/>
  <c r="N141" i="45"/>
  <c r="O141" i="45"/>
  <c r="L141" i="45"/>
  <c r="M141" i="45"/>
  <c r="O140" i="45"/>
  <c r="L140" i="45"/>
  <c r="M140" i="45"/>
  <c r="N140" i="45"/>
  <c r="I145" i="44"/>
  <c r="H145" i="44"/>
  <c r="K145" i="44" s="1"/>
  <c r="G145" i="44"/>
  <c r="I140" i="44"/>
  <c r="H140" i="44"/>
  <c r="K140" i="44" s="1"/>
  <c r="G140" i="44"/>
  <c r="I137" i="44"/>
  <c r="H137" i="44"/>
  <c r="K137" i="44" s="1"/>
  <c r="G137" i="44"/>
  <c r="H144" i="44"/>
  <c r="K144" i="44" s="1"/>
  <c r="G144" i="44"/>
  <c r="I144" i="44"/>
  <c r="G142" i="45"/>
  <c r="I142" i="45"/>
  <c r="H142" i="45"/>
  <c r="K142" i="45" s="1"/>
  <c r="H141" i="45"/>
  <c r="K141" i="45" s="1"/>
  <c r="I141" i="45"/>
  <c r="G141" i="45"/>
  <c r="H138" i="45"/>
  <c r="K138" i="45" s="1"/>
  <c r="G138" i="45"/>
  <c r="I138" i="45"/>
  <c r="H144" i="45"/>
  <c r="K144" i="45" s="1"/>
  <c r="G144" i="45"/>
  <c r="I144" i="45"/>
  <c r="G139" i="45"/>
  <c r="H139" i="45"/>
  <c r="K139" i="45" s="1"/>
  <c r="I139" i="45"/>
  <c r="G145" i="45"/>
  <c r="I145" i="45"/>
  <c r="H145" i="45"/>
  <c r="K145" i="45" s="1"/>
  <c r="I140" i="45"/>
  <c r="H140" i="45"/>
  <c r="K140" i="45" s="1"/>
  <c r="G140" i="45"/>
  <c r="I137" i="45"/>
  <c r="H137" i="45"/>
  <c r="K137" i="45" s="1"/>
  <c r="G137" i="45"/>
  <c r="I143" i="45"/>
  <c r="H143" i="45"/>
  <c r="K143" i="45" s="1"/>
  <c r="G143" i="45"/>
  <c r="L144" i="44"/>
  <c r="O144" i="44"/>
  <c r="N144" i="44"/>
  <c r="M144" i="44"/>
  <c r="O137" i="44"/>
  <c r="L137" i="44"/>
  <c r="M137" i="44"/>
  <c r="N137" i="44"/>
  <c r="M142" i="44"/>
  <c r="L142" i="44"/>
  <c r="O142" i="44"/>
  <c r="N142" i="44"/>
  <c r="N138" i="44"/>
  <c r="O138" i="44"/>
  <c r="M138" i="44"/>
  <c r="L138" i="44"/>
  <c r="N141" i="44"/>
  <c r="O141" i="44"/>
  <c r="M141" i="44"/>
  <c r="L141" i="44"/>
  <c r="M139" i="44"/>
  <c r="O139" i="44"/>
  <c r="N139" i="44"/>
  <c r="L139" i="44"/>
  <c r="O140" i="44"/>
  <c r="M140" i="44"/>
  <c r="N140" i="44"/>
  <c r="L140" i="44"/>
  <c r="M136" i="44"/>
  <c r="J146" i="44"/>
  <c r="L136" i="44"/>
  <c r="O136" i="44"/>
  <c r="N136" i="44"/>
  <c r="L143" i="44"/>
  <c r="N143" i="44"/>
  <c r="M143" i="44"/>
  <c r="O143" i="44"/>
  <c r="M145" i="44"/>
  <c r="O145" i="44"/>
  <c r="N145" i="44"/>
  <c r="L145" i="44"/>
  <c r="Q14" i="43"/>
  <c r="P14" i="43"/>
  <c r="T14" i="43"/>
  <c r="S14" i="43"/>
  <c r="R14" i="43"/>
  <c r="Q13" i="43"/>
  <c r="P13" i="43"/>
  <c r="T13" i="43"/>
  <c r="S13" i="43"/>
  <c r="R13" i="43"/>
  <c r="Q12" i="43"/>
  <c r="P12" i="43"/>
  <c r="T12" i="43"/>
  <c r="S12" i="43"/>
  <c r="R12" i="43"/>
  <c r="Q11" i="43"/>
  <c r="P11" i="43"/>
  <c r="T11" i="43"/>
  <c r="S11" i="43"/>
  <c r="R11" i="43"/>
  <c r="Q10" i="43"/>
  <c r="P10" i="43"/>
  <c r="T10" i="43"/>
  <c r="S10" i="43"/>
  <c r="R10" i="43"/>
  <c r="Q9" i="43"/>
  <c r="P9" i="43"/>
  <c r="T9" i="43"/>
  <c r="S9" i="43"/>
  <c r="R9" i="43"/>
  <c r="Q8" i="43"/>
  <c r="P8" i="43"/>
  <c r="T8" i="43"/>
  <c r="S8" i="43"/>
  <c r="R8" i="43"/>
  <c r="Q7" i="43"/>
  <c r="P7" i="43"/>
  <c r="T7" i="43"/>
  <c r="S7" i="43"/>
  <c r="R7" i="43"/>
  <c r="O16" i="43"/>
  <c r="S6" i="43"/>
  <c r="Q6" i="43"/>
  <c r="P6" i="43"/>
  <c r="T6" i="43"/>
  <c r="R6" i="43"/>
  <c r="N144" i="43"/>
  <c r="M144" i="43"/>
  <c r="L144" i="43"/>
  <c r="O144" i="43"/>
  <c r="N138" i="43"/>
  <c r="L138" i="43"/>
  <c r="O138" i="43"/>
  <c r="M138" i="43"/>
  <c r="I14" i="43"/>
  <c r="J14" i="43"/>
  <c r="H14" i="43"/>
  <c r="I13" i="43"/>
  <c r="J13" i="43"/>
  <c r="H13" i="43"/>
  <c r="I12" i="43"/>
  <c r="J12" i="43"/>
  <c r="H12" i="43"/>
  <c r="I11" i="43"/>
  <c r="J11" i="43"/>
  <c r="H11" i="43"/>
  <c r="I10" i="43"/>
  <c r="J10" i="43"/>
  <c r="H10" i="43"/>
  <c r="I9" i="43"/>
  <c r="J9" i="43"/>
  <c r="H9" i="43"/>
  <c r="I8" i="43"/>
  <c r="J8" i="43"/>
  <c r="H8" i="43"/>
  <c r="O140" i="43"/>
  <c r="L140" i="43"/>
  <c r="N140" i="43"/>
  <c r="M140" i="43"/>
  <c r="N141" i="43"/>
  <c r="O141" i="43"/>
  <c r="M141" i="43"/>
  <c r="L141" i="43"/>
  <c r="J146" i="43"/>
  <c r="N136" i="43"/>
  <c r="O136" i="43"/>
  <c r="M136" i="43"/>
  <c r="L136" i="43"/>
  <c r="M142" i="43"/>
  <c r="O142" i="43"/>
  <c r="N142" i="43"/>
  <c r="L142" i="43"/>
  <c r="N145" i="43"/>
  <c r="O145" i="43"/>
  <c r="M145" i="43"/>
  <c r="L145" i="43"/>
  <c r="I6" i="43"/>
  <c r="G16" i="43"/>
  <c r="J6" i="43"/>
  <c r="H6" i="43"/>
  <c r="R10" i="42"/>
  <c r="T10" i="42"/>
  <c r="AA20" i="42" s="1"/>
  <c r="S10" i="42"/>
  <c r="Q10" i="42"/>
  <c r="P10" i="42"/>
  <c r="R9" i="42"/>
  <c r="T9" i="42"/>
  <c r="S9" i="42"/>
  <c r="Q9" i="42"/>
  <c r="P9" i="42"/>
  <c r="R8" i="42"/>
  <c r="T8" i="42"/>
  <c r="S8" i="42"/>
  <c r="Q8" i="42"/>
  <c r="P8" i="42"/>
  <c r="R7" i="42"/>
  <c r="AA19" i="42"/>
  <c r="T7" i="42"/>
  <c r="S7" i="42"/>
  <c r="Q7" i="42"/>
  <c r="P7" i="42"/>
  <c r="R6" i="42"/>
  <c r="T6" i="42"/>
  <c r="S6" i="42"/>
  <c r="Q6" i="42"/>
  <c r="P6" i="42"/>
  <c r="K16" i="43"/>
  <c r="L6" i="43"/>
  <c r="N6" i="43"/>
  <c r="M6" i="43"/>
  <c r="M7" i="43"/>
  <c r="L7" i="43"/>
  <c r="N7" i="43"/>
  <c r="M8" i="43"/>
  <c r="L8" i="43"/>
  <c r="N8" i="43"/>
  <c r="M9" i="43"/>
  <c r="L9" i="43"/>
  <c r="N9" i="43"/>
  <c r="M10" i="43"/>
  <c r="L10" i="43"/>
  <c r="N10" i="43"/>
  <c r="M11" i="43"/>
  <c r="L11" i="43"/>
  <c r="N11" i="43"/>
  <c r="M12" i="43"/>
  <c r="L12" i="43"/>
  <c r="N12" i="43"/>
  <c r="M13" i="43"/>
  <c r="L13" i="43"/>
  <c r="N13" i="43"/>
  <c r="M14" i="43"/>
  <c r="L14" i="43"/>
  <c r="N14" i="43"/>
  <c r="M15" i="43"/>
  <c r="L15" i="43"/>
  <c r="N15" i="43"/>
  <c r="M134" i="41"/>
  <c r="L134" i="41"/>
  <c r="O134" i="41"/>
  <c r="N134" i="41"/>
  <c r="K134" i="41"/>
  <c r="J10" i="41"/>
  <c r="H10" i="41"/>
  <c r="I10" i="41"/>
  <c r="J9" i="41"/>
  <c r="M9" i="41"/>
  <c r="H9" i="41"/>
  <c r="I9" i="41"/>
  <c r="J8" i="41"/>
  <c r="M8" i="41"/>
  <c r="H8" i="41"/>
  <c r="I8" i="41"/>
  <c r="J7" i="41"/>
  <c r="H7" i="41"/>
  <c r="I7" i="41"/>
  <c r="J6" i="41"/>
  <c r="H6" i="41"/>
  <c r="I6" i="41"/>
  <c r="E16" i="43"/>
  <c r="F16" i="43" s="1"/>
  <c r="F6" i="43"/>
  <c r="H9" i="42"/>
  <c r="M9" i="42"/>
  <c r="J9" i="42"/>
  <c r="I9" i="42"/>
  <c r="H6" i="42"/>
  <c r="J6" i="42"/>
  <c r="I6" i="42"/>
  <c r="M8" i="40"/>
  <c r="J8" i="40"/>
  <c r="I8" i="40"/>
  <c r="H8" i="40"/>
  <c r="J7" i="40"/>
  <c r="I7" i="40"/>
  <c r="H7" i="40"/>
  <c r="J6" i="40"/>
  <c r="I6" i="40"/>
  <c r="H6" i="40"/>
  <c r="M9" i="40"/>
  <c r="J9" i="40"/>
  <c r="H9" i="40"/>
  <c r="I9" i="40"/>
  <c r="J10" i="40"/>
  <c r="H10" i="40"/>
  <c r="I10" i="40"/>
  <c r="H124" i="39"/>
  <c r="G124" i="39"/>
  <c r="L10" i="42"/>
  <c r="N10" i="42"/>
  <c r="M10" i="42"/>
  <c r="L7" i="42"/>
  <c r="N7" i="42"/>
  <c r="M7" i="42"/>
  <c r="L9" i="41"/>
  <c r="N9" i="41"/>
  <c r="M7" i="41"/>
  <c r="L7" i="41"/>
  <c r="N7" i="41"/>
  <c r="M134" i="40"/>
  <c r="L134" i="40"/>
  <c r="K134" i="40"/>
  <c r="O134" i="40"/>
  <c r="N134" i="40"/>
  <c r="K127" i="39"/>
  <c r="N127" i="39"/>
  <c r="M127" i="39"/>
  <c r="J129" i="39"/>
  <c r="L127" i="39"/>
  <c r="O127" i="39"/>
  <c r="G125" i="39"/>
  <c r="I125" i="39"/>
  <c r="H125" i="39"/>
  <c r="L8" i="42"/>
  <c r="N8" i="42"/>
  <c r="G134" i="40"/>
  <c r="I134" i="40"/>
  <c r="H134" i="40"/>
  <c r="M125" i="39"/>
  <c r="L125" i="39"/>
  <c r="O125" i="39"/>
  <c r="N125" i="39"/>
  <c r="K125" i="39"/>
  <c r="N124" i="39"/>
  <c r="M124" i="39"/>
  <c r="O124" i="39"/>
  <c r="L124" i="39"/>
  <c r="I137" i="43"/>
  <c r="G137" i="43"/>
  <c r="H137" i="43"/>
  <c r="G142" i="43"/>
  <c r="I142" i="43"/>
  <c r="H142" i="43"/>
  <c r="H141" i="43"/>
  <c r="I141" i="43"/>
  <c r="G141" i="43"/>
  <c r="F146" i="43"/>
  <c r="H136" i="43"/>
  <c r="K136" i="43" s="1"/>
  <c r="I136" i="43"/>
  <c r="G136" i="43"/>
  <c r="G139" i="43"/>
  <c r="I139" i="43"/>
  <c r="H139" i="43"/>
  <c r="H138" i="43"/>
  <c r="G138" i="43"/>
  <c r="I138" i="43"/>
  <c r="H144" i="43"/>
  <c r="G144" i="43"/>
  <c r="I144" i="43"/>
  <c r="G145" i="43"/>
  <c r="I145" i="43"/>
  <c r="H145" i="43"/>
  <c r="H140" i="43"/>
  <c r="G140" i="43"/>
  <c r="I140" i="43"/>
  <c r="I143" i="43"/>
  <c r="H143" i="43"/>
  <c r="G143" i="43"/>
  <c r="H8" i="42"/>
  <c r="M8" i="42"/>
  <c r="J8" i="42"/>
  <c r="I8" i="42"/>
  <c r="S10" i="40"/>
  <c r="AA20" i="40"/>
  <c r="P10" i="40"/>
  <c r="T10" i="40"/>
  <c r="Q10" i="40"/>
  <c r="R10" i="40"/>
  <c r="S9" i="40"/>
  <c r="P9" i="40"/>
  <c r="T9" i="40"/>
  <c r="Q9" i="40"/>
  <c r="R9" i="40"/>
  <c r="AA19" i="40"/>
  <c r="S7" i="40"/>
  <c r="R7" i="40"/>
  <c r="P7" i="40"/>
  <c r="T7" i="40"/>
  <c r="Q7" i="40"/>
  <c r="S6" i="40"/>
  <c r="R6" i="40"/>
  <c r="P6" i="40"/>
  <c r="T6" i="40"/>
  <c r="Q6" i="40"/>
  <c r="L6" i="42"/>
  <c r="N6" i="42"/>
  <c r="M6" i="42"/>
  <c r="P9" i="41"/>
  <c r="S9" i="41"/>
  <c r="R9" i="41"/>
  <c r="T9" i="41"/>
  <c r="Q9" i="41"/>
  <c r="P7" i="41"/>
  <c r="AA19" i="41"/>
  <c r="S7" i="41"/>
  <c r="R7" i="41"/>
  <c r="T7" i="41"/>
  <c r="Q7" i="41"/>
  <c r="S8" i="40"/>
  <c r="T8" i="40"/>
  <c r="Q8" i="40"/>
  <c r="P8" i="40"/>
  <c r="R8" i="40"/>
  <c r="N8" i="40"/>
  <c r="L8" i="40"/>
  <c r="M6" i="40"/>
  <c r="L6" i="40"/>
  <c r="N6" i="40"/>
  <c r="I24" i="37"/>
  <c r="J24" i="37"/>
  <c r="Q15" i="37"/>
  <c r="P15" i="37"/>
  <c r="Q13" i="37"/>
  <c r="P13" i="37"/>
  <c r="Q11" i="37"/>
  <c r="P11" i="37"/>
  <c r="Q9" i="37"/>
  <c r="P9" i="37"/>
  <c r="Q7" i="37"/>
  <c r="P7" i="37"/>
  <c r="Q18" i="37"/>
  <c r="P18" i="37"/>
  <c r="Q20" i="37"/>
  <c r="P20" i="37"/>
  <c r="Q22" i="37"/>
  <c r="P22" i="37"/>
  <c r="Q24" i="37"/>
  <c r="P24" i="37"/>
  <c r="Q26" i="37"/>
  <c r="P26" i="37"/>
  <c r="Q28" i="37"/>
  <c r="P28" i="37"/>
  <c r="Q30" i="37"/>
  <c r="P30" i="37"/>
  <c r="Q32" i="37"/>
  <c r="P32" i="37"/>
  <c r="Q34" i="37"/>
  <c r="P34" i="37"/>
  <c r="Q36" i="37"/>
  <c r="P36" i="37"/>
  <c r="Q38" i="37"/>
  <c r="P38" i="37"/>
  <c r="Q40" i="37"/>
  <c r="P40" i="37"/>
  <c r="Q42" i="37"/>
  <c r="P42" i="37"/>
  <c r="Q44" i="37"/>
  <c r="P44" i="37"/>
  <c r="Q46" i="37"/>
  <c r="P46" i="37"/>
  <c r="Q48" i="37"/>
  <c r="P48" i="37"/>
  <c r="Q50" i="37"/>
  <c r="P50" i="37"/>
  <c r="Q17" i="37"/>
  <c r="P17" i="37"/>
  <c r="P19" i="37"/>
  <c r="Q19" i="37"/>
  <c r="P21" i="37"/>
  <c r="Q21" i="37"/>
  <c r="P23" i="37"/>
  <c r="Q23" i="37"/>
  <c r="P25" i="37"/>
  <c r="Q25" i="37"/>
  <c r="Q27" i="37"/>
  <c r="P27" i="37"/>
  <c r="Q29" i="37"/>
  <c r="P29" i="37"/>
  <c r="Q31" i="37"/>
  <c r="P31" i="37"/>
  <c r="Q33" i="37"/>
  <c r="P33" i="37"/>
  <c r="Q35" i="37"/>
  <c r="P35" i="37"/>
  <c r="Q37" i="37"/>
  <c r="P37" i="37"/>
  <c r="Q39" i="37"/>
  <c r="P39" i="37"/>
  <c r="Q41" i="37"/>
  <c r="P41" i="37"/>
  <c r="Q43" i="37"/>
  <c r="P43" i="37"/>
  <c r="Q45" i="37"/>
  <c r="P45" i="37"/>
  <c r="Q47" i="37"/>
  <c r="P47" i="37"/>
  <c r="Q49" i="37"/>
  <c r="P49" i="37"/>
  <c r="Q51" i="37"/>
  <c r="P51" i="37"/>
  <c r="G134" i="41"/>
  <c r="I134" i="41"/>
  <c r="H134" i="41"/>
  <c r="I15" i="37"/>
  <c r="J15" i="37"/>
  <c r="I13" i="37"/>
  <c r="J13" i="37"/>
  <c r="I11" i="37"/>
  <c r="J11" i="37"/>
  <c r="I9" i="37"/>
  <c r="J9" i="37"/>
  <c r="I7" i="37"/>
  <c r="J7" i="37"/>
  <c r="I28" i="37"/>
  <c r="J28" i="37"/>
  <c r="I30" i="37"/>
  <c r="J30" i="37"/>
  <c r="I32" i="37"/>
  <c r="J32" i="37"/>
  <c r="I34" i="37"/>
  <c r="J34" i="37"/>
  <c r="I36" i="37"/>
  <c r="J36" i="37"/>
  <c r="I38" i="37"/>
  <c r="J38" i="37"/>
  <c r="I40" i="37"/>
  <c r="J40" i="37"/>
  <c r="I42" i="37"/>
  <c r="J42" i="37"/>
  <c r="I44" i="37"/>
  <c r="J44" i="37"/>
  <c r="I46" i="37"/>
  <c r="J46" i="37"/>
  <c r="I48" i="37"/>
  <c r="J48" i="37"/>
  <c r="I50" i="37"/>
  <c r="J50" i="37"/>
  <c r="I17" i="37"/>
  <c r="J17" i="37"/>
  <c r="I19" i="37"/>
  <c r="J19" i="37"/>
  <c r="I21" i="37"/>
  <c r="J21" i="37"/>
  <c r="I23" i="37"/>
  <c r="J23" i="37"/>
  <c r="I25" i="37"/>
  <c r="J25" i="37"/>
  <c r="I27" i="37"/>
  <c r="J27" i="37"/>
  <c r="I29" i="37"/>
  <c r="J29" i="37"/>
  <c r="I31" i="37"/>
  <c r="J31" i="37"/>
  <c r="I33" i="37"/>
  <c r="J33" i="37"/>
  <c r="I35" i="37"/>
  <c r="J35" i="37"/>
  <c r="I37" i="37"/>
  <c r="J37" i="37"/>
  <c r="I39" i="37"/>
  <c r="J39" i="37"/>
  <c r="I41" i="37"/>
  <c r="J41" i="37"/>
  <c r="I43" i="37"/>
  <c r="J43" i="37"/>
  <c r="I45" i="37"/>
  <c r="J45" i="37"/>
  <c r="I47" i="37"/>
  <c r="J47" i="37"/>
  <c r="I49" i="37"/>
  <c r="J49" i="37"/>
  <c r="I51" i="37"/>
  <c r="J51" i="37"/>
  <c r="I22" i="37"/>
  <c r="J22" i="37"/>
  <c r="I14" i="37"/>
  <c r="J14" i="37"/>
  <c r="I12" i="37"/>
  <c r="J12" i="37"/>
  <c r="I10" i="37"/>
  <c r="J10" i="37"/>
  <c r="I8" i="37"/>
  <c r="J8" i="37"/>
  <c r="I6" i="37"/>
  <c r="J6" i="37"/>
  <c r="L9" i="40"/>
  <c r="N9" i="40"/>
  <c r="M10" i="40"/>
  <c r="L10" i="40"/>
  <c r="N10" i="40"/>
  <c r="I18" i="37"/>
  <c r="J18" i="37"/>
  <c r="J48" i="36"/>
  <c r="I48" i="36"/>
  <c r="J36" i="36"/>
  <c r="I36" i="36"/>
  <c r="J24" i="36"/>
  <c r="I24" i="36"/>
  <c r="J12" i="36"/>
  <c r="I12" i="36"/>
  <c r="J7" i="36"/>
  <c r="I7" i="36"/>
  <c r="J17" i="36"/>
  <c r="I17" i="36"/>
  <c r="J19" i="36"/>
  <c r="I19" i="36"/>
  <c r="J21" i="36"/>
  <c r="I21" i="36"/>
  <c r="J23" i="36"/>
  <c r="I23" i="36"/>
  <c r="J25" i="36"/>
  <c r="I25" i="36"/>
  <c r="J27" i="36"/>
  <c r="I27" i="36"/>
  <c r="J29" i="36"/>
  <c r="I29" i="36"/>
  <c r="J31" i="36"/>
  <c r="I31" i="36"/>
  <c r="J33" i="36"/>
  <c r="I33" i="36"/>
  <c r="J35" i="36"/>
  <c r="I35" i="36"/>
  <c r="J37" i="36"/>
  <c r="I37" i="36"/>
  <c r="J39" i="36"/>
  <c r="I39" i="36"/>
  <c r="J41" i="36"/>
  <c r="I41" i="36"/>
  <c r="J43" i="36"/>
  <c r="I43" i="36"/>
  <c r="J45" i="36"/>
  <c r="I45" i="36"/>
  <c r="J47" i="36"/>
  <c r="I47" i="36"/>
  <c r="J49" i="36"/>
  <c r="I49" i="36"/>
  <c r="J51" i="36"/>
  <c r="I51" i="36"/>
  <c r="J9" i="36"/>
  <c r="I9" i="36"/>
  <c r="J11" i="36"/>
  <c r="I11" i="36"/>
  <c r="J13" i="36"/>
  <c r="I13" i="36"/>
  <c r="J15" i="36"/>
  <c r="I15" i="36"/>
  <c r="AL37" i="35"/>
  <c r="AK37" i="35"/>
  <c r="AL35" i="35"/>
  <c r="AK35" i="35"/>
  <c r="AL33" i="35"/>
  <c r="AK33" i="35"/>
  <c r="AL31" i="35"/>
  <c r="AK31" i="35"/>
  <c r="J38" i="36"/>
  <c r="I38" i="36"/>
  <c r="J26" i="36"/>
  <c r="I26" i="36"/>
  <c r="Q10" i="36"/>
  <c r="P10" i="36"/>
  <c r="V39" i="35"/>
  <c r="W39" i="35"/>
  <c r="V37" i="35"/>
  <c r="W37" i="35"/>
  <c r="V35" i="35"/>
  <c r="W35" i="35"/>
  <c r="V33" i="35"/>
  <c r="W33" i="35"/>
  <c r="V31" i="35"/>
  <c r="W31" i="35"/>
  <c r="AR18" i="35"/>
  <c r="AU18" i="35"/>
  <c r="AT18" i="35"/>
  <c r="AS18" i="35"/>
  <c r="AV18" i="35"/>
  <c r="AR17" i="35"/>
  <c r="AU17" i="35"/>
  <c r="AT17" i="35"/>
  <c r="AS17" i="35"/>
  <c r="AV17" i="35"/>
  <c r="AR16" i="35"/>
  <c r="AU16" i="35"/>
  <c r="AT16" i="35"/>
  <c r="AS16" i="35"/>
  <c r="AV16" i="35"/>
  <c r="AR15" i="35"/>
  <c r="AU15" i="35"/>
  <c r="AT15" i="35"/>
  <c r="AS15" i="35"/>
  <c r="AV15" i="35"/>
  <c r="AR14" i="35"/>
  <c r="AU14" i="35"/>
  <c r="AT14" i="35"/>
  <c r="AS14" i="35"/>
  <c r="AV14" i="35"/>
  <c r="AR13" i="35"/>
  <c r="AU13" i="35"/>
  <c r="AT13" i="35"/>
  <c r="AS13" i="35"/>
  <c r="AV13" i="35"/>
  <c r="AR12" i="35"/>
  <c r="AU12" i="35"/>
  <c r="AT12" i="35"/>
  <c r="AS12" i="35"/>
  <c r="AV12" i="35"/>
  <c r="AR11" i="35"/>
  <c r="AQ22" i="35"/>
  <c r="AU11" i="35"/>
  <c r="AT11" i="35"/>
  <c r="AS11" i="35"/>
  <c r="AV11" i="35"/>
  <c r="AR10" i="35"/>
  <c r="AU10" i="35"/>
  <c r="AT10" i="35"/>
  <c r="AS10" i="35"/>
  <c r="AV10" i="35"/>
  <c r="AR9" i="35"/>
  <c r="AU9" i="35"/>
  <c r="AT9" i="35"/>
  <c r="AS9" i="35"/>
  <c r="AV9" i="35"/>
  <c r="AR8" i="35"/>
  <c r="AU8" i="35"/>
  <c r="AT8" i="35"/>
  <c r="AS8" i="35"/>
  <c r="AV8" i="35"/>
  <c r="J42" i="36"/>
  <c r="I42" i="36"/>
  <c r="J30" i="36"/>
  <c r="I30" i="36"/>
  <c r="J18" i="36"/>
  <c r="I18" i="36"/>
  <c r="J16" i="36"/>
  <c r="I16" i="36"/>
  <c r="Q12" i="36"/>
  <c r="P12" i="36"/>
  <c r="AL40" i="35"/>
  <c r="AK40" i="35"/>
  <c r="AL38" i="35"/>
  <c r="AK38" i="35"/>
  <c r="AL36" i="35"/>
  <c r="AK36" i="35"/>
  <c r="AL34" i="35"/>
  <c r="AK34" i="35"/>
  <c r="AL32" i="35"/>
  <c r="AK32" i="35"/>
  <c r="AL30" i="35"/>
  <c r="AK30" i="35"/>
  <c r="AL18" i="35"/>
  <c r="AK18" i="35"/>
  <c r="AJ18" i="35"/>
  <c r="AL17" i="35"/>
  <c r="AK17" i="35"/>
  <c r="AJ17" i="35"/>
  <c r="AL16" i="35"/>
  <c r="AK16" i="35"/>
  <c r="AJ16" i="35"/>
  <c r="AL15" i="35"/>
  <c r="AK15" i="35"/>
  <c r="AJ15" i="35"/>
  <c r="AL14" i="35"/>
  <c r="AK14" i="35"/>
  <c r="AJ14" i="35"/>
  <c r="AL13" i="35"/>
  <c r="AK13" i="35"/>
  <c r="AJ13" i="35"/>
  <c r="AL12" i="35"/>
  <c r="AK12" i="35"/>
  <c r="AJ12" i="35"/>
  <c r="AL11" i="35"/>
  <c r="AK11" i="35"/>
  <c r="AJ11" i="35"/>
  <c r="AL10" i="35"/>
  <c r="AK10" i="35"/>
  <c r="AJ10" i="35"/>
  <c r="AL9" i="35"/>
  <c r="AK9" i="35"/>
  <c r="AJ9" i="35"/>
  <c r="AL8" i="35"/>
  <c r="AK8" i="35"/>
  <c r="AJ8" i="35"/>
  <c r="J44" i="36"/>
  <c r="I44" i="36"/>
  <c r="J32" i="36"/>
  <c r="I32" i="36"/>
  <c r="J20" i="36"/>
  <c r="I20" i="36"/>
  <c r="J10" i="36"/>
  <c r="I10" i="36"/>
  <c r="J8" i="36"/>
  <c r="I8" i="36"/>
  <c r="V40" i="35"/>
  <c r="W40" i="35"/>
  <c r="V38" i="35"/>
  <c r="W38" i="35"/>
  <c r="V36" i="35"/>
  <c r="W36" i="35"/>
  <c r="V34" i="35"/>
  <c r="W34" i="35"/>
  <c r="V32" i="35"/>
  <c r="W32" i="35"/>
  <c r="V30" i="35"/>
  <c r="W30" i="35"/>
  <c r="J46" i="36"/>
  <c r="I46" i="36"/>
  <c r="J34" i="36"/>
  <c r="I34" i="36"/>
  <c r="J22" i="36"/>
  <c r="I22" i="36"/>
  <c r="Q14" i="36"/>
  <c r="P14" i="36"/>
  <c r="Q8" i="36"/>
  <c r="P8" i="36"/>
  <c r="Q7" i="36"/>
  <c r="P7" i="36"/>
  <c r="P9" i="36"/>
  <c r="Q9" i="36"/>
  <c r="P11" i="36"/>
  <c r="Q11" i="36"/>
  <c r="P13" i="36"/>
  <c r="Q13" i="36"/>
  <c r="P15" i="36"/>
  <c r="Q15" i="36"/>
  <c r="P17" i="36"/>
  <c r="Q17" i="36"/>
  <c r="P19" i="36"/>
  <c r="Q19" i="36"/>
  <c r="P21" i="36"/>
  <c r="Q21" i="36"/>
  <c r="P23" i="36"/>
  <c r="Q23" i="36"/>
  <c r="P25" i="36"/>
  <c r="Q25" i="36"/>
  <c r="P27" i="36"/>
  <c r="Q27" i="36"/>
  <c r="P29" i="36"/>
  <c r="Q29" i="36"/>
  <c r="P31" i="36"/>
  <c r="Q31" i="36"/>
  <c r="P33" i="36"/>
  <c r="Q33" i="36"/>
  <c r="P35" i="36"/>
  <c r="Q35" i="36"/>
  <c r="P37" i="36"/>
  <c r="Q37" i="36"/>
  <c r="P39" i="36"/>
  <c r="Q39" i="36"/>
  <c r="P41" i="36"/>
  <c r="Q41" i="36"/>
  <c r="P43" i="36"/>
  <c r="Q43" i="36"/>
  <c r="P45" i="36"/>
  <c r="Q45" i="36"/>
  <c r="P47" i="36"/>
  <c r="Q47" i="36"/>
  <c r="P49" i="36"/>
  <c r="Q49" i="36"/>
  <c r="P51" i="36"/>
  <c r="Q51" i="36"/>
  <c r="P16" i="36"/>
  <c r="Q16" i="36"/>
  <c r="P18" i="36"/>
  <c r="Q18" i="36"/>
  <c r="P20" i="36"/>
  <c r="Q20" i="36"/>
  <c r="P22" i="36"/>
  <c r="Q22" i="36"/>
  <c r="P24" i="36"/>
  <c r="Q24" i="36"/>
  <c r="P26" i="36"/>
  <c r="Q26" i="36"/>
  <c r="P28" i="36"/>
  <c r="Q28" i="36"/>
  <c r="P30" i="36"/>
  <c r="Q30" i="36"/>
  <c r="P32" i="36"/>
  <c r="Q32" i="36"/>
  <c r="P34" i="36"/>
  <c r="Q34" i="36"/>
  <c r="P36" i="36"/>
  <c r="Q36" i="36"/>
  <c r="P38" i="36"/>
  <c r="Q38" i="36"/>
  <c r="P40" i="36"/>
  <c r="Q40" i="36"/>
  <c r="P42" i="36"/>
  <c r="Q42" i="36"/>
  <c r="P44" i="36"/>
  <c r="Q44" i="36"/>
  <c r="P46" i="36"/>
  <c r="Q46" i="36"/>
  <c r="P48" i="36"/>
  <c r="Q48" i="36"/>
  <c r="P50" i="36"/>
  <c r="Q50" i="36"/>
  <c r="I35" i="35"/>
  <c r="H35" i="35"/>
  <c r="K109" i="33"/>
  <c r="L109" i="33" s="1"/>
  <c r="L97" i="33"/>
  <c r="E109" i="33"/>
  <c r="F109" i="33" s="1"/>
  <c r="F97" i="33"/>
  <c r="I87" i="33"/>
  <c r="J87" i="33" s="1"/>
  <c r="J75" i="33"/>
  <c r="N79" i="33"/>
  <c r="N74" i="33"/>
  <c r="N80" i="33"/>
  <c r="N82" i="33"/>
  <c r="N76" i="33"/>
  <c r="N83" i="33"/>
  <c r="N77" i="33"/>
  <c r="N78" i="33"/>
  <c r="N75" i="33"/>
  <c r="N81" i="33"/>
  <c r="J52" i="33"/>
  <c r="J65" i="33"/>
  <c r="N35" i="33"/>
  <c r="N30" i="33"/>
  <c r="N36" i="33"/>
  <c r="N38" i="33"/>
  <c r="N32" i="33"/>
  <c r="N33" i="33"/>
  <c r="N34" i="33"/>
  <c r="N31" i="33"/>
  <c r="N37" i="33"/>
  <c r="I33" i="35"/>
  <c r="H33" i="35"/>
  <c r="H65" i="33"/>
  <c r="H52" i="33"/>
  <c r="L43" i="33"/>
  <c r="L30" i="33"/>
  <c r="L96" i="33"/>
  <c r="N96" i="33"/>
  <c r="H30" i="33"/>
  <c r="H43" i="33"/>
  <c r="J30" i="33"/>
  <c r="I39" i="35"/>
  <c r="H39" i="35"/>
  <c r="G109" i="33"/>
  <c r="J109" i="33" s="1"/>
  <c r="H97" i="33"/>
  <c r="L75" i="33"/>
  <c r="K87" i="33"/>
  <c r="F75" i="33"/>
  <c r="E87" i="33"/>
  <c r="F87" i="33" s="1"/>
  <c r="N59" i="33"/>
  <c r="N53" i="33"/>
  <c r="N60" i="33"/>
  <c r="N54" i="33"/>
  <c r="N56" i="33"/>
  <c r="N57" i="33"/>
  <c r="N52" i="33"/>
  <c r="N58" i="33"/>
  <c r="N61" i="33"/>
  <c r="N55" i="33"/>
  <c r="F43" i="33"/>
  <c r="F30" i="33"/>
  <c r="I37" i="35"/>
  <c r="H37" i="35"/>
  <c r="I30" i="35"/>
  <c r="H30" i="35"/>
  <c r="I32" i="35"/>
  <c r="H32" i="35"/>
  <c r="I34" i="35"/>
  <c r="H34" i="35"/>
  <c r="I36" i="35"/>
  <c r="H36" i="35"/>
  <c r="I38" i="35"/>
  <c r="H38" i="35"/>
  <c r="I40" i="35"/>
  <c r="H40" i="35"/>
  <c r="L52" i="33"/>
  <c r="L65" i="33"/>
  <c r="D30" i="33"/>
  <c r="D52" i="33"/>
  <c r="F52" i="33"/>
  <c r="N105" i="31"/>
  <c r="N104" i="31"/>
  <c r="N103" i="31"/>
  <c r="N102" i="31"/>
  <c r="N101" i="31"/>
  <c r="N100" i="31"/>
  <c r="N99" i="31"/>
  <c r="N98" i="31"/>
  <c r="N97" i="31"/>
  <c r="N39" i="31"/>
  <c r="N38" i="31"/>
  <c r="N37" i="31"/>
  <c r="N36" i="31"/>
  <c r="N35" i="31"/>
  <c r="N34" i="31"/>
  <c r="N33" i="31"/>
  <c r="N32" i="31"/>
  <c r="N31" i="31"/>
  <c r="N83" i="31"/>
  <c r="N82" i="31"/>
  <c r="N81" i="31"/>
  <c r="N80" i="31"/>
  <c r="N79" i="31"/>
  <c r="N78" i="31"/>
  <c r="N77" i="31"/>
  <c r="N76" i="31"/>
  <c r="N75" i="31"/>
  <c r="N61" i="31"/>
  <c r="N60" i="31"/>
  <c r="N59" i="31"/>
  <c r="N58" i="31"/>
  <c r="N57" i="31"/>
  <c r="N56" i="31"/>
  <c r="N55" i="31"/>
  <c r="N54" i="31"/>
  <c r="N53" i="31"/>
  <c r="N30" i="31"/>
  <c r="J131" i="28"/>
  <c r="I131" i="28"/>
  <c r="M131" i="28"/>
  <c r="L131" i="28"/>
  <c r="K131" i="28"/>
  <c r="J80" i="28"/>
  <c r="L80" i="28"/>
  <c r="M80" i="28"/>
  <c r="K80" i="28"/>
  <c r="I80" i="28"/>
  <c r="M71" i="28"/>
  <c r="K71" i="28"/>
  <c r="J71" i="28"/>
  <c r="I71" i="28"/>
  <c r="L71" i="28"/>
  <c r="M65" i="28"/>
  <c r="K65" i="28"/>
  <c r="J65" i="28"/>
  <c r="I65" i="28"/>
  <c r="L65" i="28"/>
  <c r="M58" i="28"/>
  <c r="K58" i="28"/>
  <c r="J58" i="28"/>
  <c r="I58" i="28"/>
  <c r="L58" i="28"/>
  <c r="M52" i="28"/>
  <c r="K52" i="28"/>
  <c r="J52" i="28"/>
  <c r="I52" i="28"/>
  <c r="L52" i="28"/>
  <c r="M45" i="28"/>
  <c r="K45" i="28"/>
  <c r="J45" i="28"/>
  <c r="I45" i="28"/>
  <c r="L45" i="28"/>
  <c r="M39" i="28"/>
  <c r="K39" i="28"/>
  <c r="J39" i="28"/>
  <c r="I39" i="28"/>
  <c r="L39" i="28"/>
  <c r="M32" i="28"/>
  <c r="K32" i="28"/>
  <c r="J32" i="28"/>
  <c r="I32" i="28"/>
  <c r="L32" i="28"/>
  <c r="M26" i="28"/>
  <c r="K26" i="28"/>
  <c r="J26" i="28"/>
  <c r="I26" i="28"/>
  <c r="L26" i="28"/>
  <c r="H34" i="28"/>
  <c r="M19" i="28"/>
  <c r="K19" i="28"/>
  <c r="J19" i="28"/>
  <c r="I19" i="28"/>
  <c r="L19" i="28"/>
  <c r="M13" i="28"/>
  <c r="K13" i="28"/>
  <c r="J13" i="28"/>
  <c r="I13" i="28"/>
  <c r="L13" i="28"/>
  <c r="M102" i="28"/>
  <c r="L102" i="28"/>
  <c r="J102" i="28"/>
  <c r="I102" i="28"/>
  <c r="K102" i="28"/>
  <c r="M109" i="28"/>
  <c r="L109" i="28"/>
  <c r="J109" i="28"/>
  <c r="I109" i="28"/>
  <c r="K109" i="28"/>
  <c r="M115" i="28"/>
  <c r="L115" i="28"/>
  <c r="J115" i="28"/>
  <c r="I115" i="28"/>
  <c r="K115" i="28"/>
  <c r="M122" i="28"/>
  <c r="L122" i="28"/>
  <c r="J122" i="28"/>
  <c r="I122" i="28"/>
  <c r="K122" i="28"/>
  <c r="M128" i="28"/>
  <c r="L128" i="28"/>
  <c r="J128" i="28"/>
  <c r="I128" i="28"/>
  <c r="K128" i="28"/>
  <c r="M135" i="28"/>
  <c r="L135" i="28"/>
  <c r="J135" i="28"/>
  <c r="I135" i="28"/>
  <c r="K135" i="28"/>
  <c r="M141" i="28"/>
  <c r="L141" i="28"/>
  <c r="J141" i="28"/>
  <c r="I141" i="28"/>
  <c r="K141" i="28"/>
  <c r="M148" i="28"/>
  <c r="L148" i="28"/>
  <c r="J148" i="28"/>
  <c r="I148" i="28"/>
  <c r="K148" i="28"/>
  <c r="M154" i="28"/>
  <c r="L154" i="28"/>
  <c r="J154" i="28"/>
  <c r="I154" i="28"/>
  <c r="K154" i="28"/>
  <c r="L75" i="28"/>
  <c r="K75" i="28"/>
  <c r="J75" i="28"/>
  <c r="I75" i="28"/>
  <c r="M75" i="28"/>
  <c r="H90" i="28"/>
  <c r="L82" i="28"/>
  <c r="M82" i="28"/>
  <c r="K82" i="28"/>
  <c r="I82" i="28"/>
  <c r="J82" i="28"/>
  <c r="L88" i="28"/>
  <c r="I88" i="28"/>
  <c r="M88" i="28"/>
  <c r="K88" i="28"/>
  <c r="J88" i="28"/>
  <c r="L95" i="28"/>
  <c r="K95" i="28"/>
  <c r="I95" i="28"/>
  <c r="J95" i="28"/>
  <c r="M95" i="28"/>
  <c r="L101" i="28"/>
  <c r="K101" i="28"/>
  <c r="I101" i="28"/>
  <c r="M101" i="28"/>
  <c r="J101" i="28"/>
  <c r="L108" i="28"/>
  <c r="K108" i="28"/>
  <c r="I108" i="28"/>
  <c r="M108" i="28"/>
  <c r="J108" i="28"/>
  <c r="L114" i="28"/>
  <c r="K114" i="28"/>
  <c r="I114" i="28"/>
  <c r="M114" i="28"/>
  <c r="J114" i="28"/>
  <c r="L121" i="28"/>
  <c r="K121" i="28"/>
  <c r="I121" i="28"/>
  <c r="M121" i="28"/>
  <c r="J121" i="28"/>
  <c r="L127" i="28"/>
  <c r="K127" i="28"/>
  <c r="I127" i="28"/>
  <c r="M127" i="28"/>
  <c r="J127" i="28"/>
  <c r="L134" i="28"/>
  <c r="K134" i="28"/>
  <c r="I134" i="28"/>
  <c r="M134" i="28"/>
  <c r="J134" i="28"/>
  <c r="L140" i="28"/>
  <c r="K140" i="28"/>
  <c r="I140" i="28"/>
  <c r="M140" i="28"/>
  <c r="J140" i="28"/>
  <c r="L153" i="28"/>
  <c r="K153" i="28"/>
  <c r="I153" i="28"/>
  <c r="M153" i="28"/>
  <c r="J153" i="28"/>
  <c r="L159" i="28"/>
  <c r="K159" i="28"/>
  <c r="I159" i="28"/>
  <c r="M159" i="28"/>
  <c r="J159" i="28"/>
  <c r="K87" i="28"/>
  <c r="M87" i="28"/>
  <c r="L87" i="28"/>
  <c r="J87" i="28"/>
  <c r="I87" i="28"/>
  <c r="K94" i="28"/>
  <c r="J94" i="28"/>
  <c r="M94" i="28"/>
  <c r="L94" i="28"/>
  <c r="I94" i="28"/>
  <c r="K100" i="28"/>
  <c r="J100" i="28"/>
  <c r="M100" i="28"/>
  <c r="L100" i="28"/>
  <c r="I100" i="28"/>
  <c r="K107" i="28"/>
  <c r="J107" i="28"/>
  <c r="M107" i="28"/>
  <c r="L107" i="28"/>
  <c r="I107" i="28"/>
  <c r="K113" i="28"/>
  <c r="J113" i="28"/>
  <c r="M113" i="28"/>
  <c r="L113" i="28"/>
  <c r="I113" i="28"/>
  <c r="K120" i="28"/>
  <c r="J120" i="28"/>
  <c r="M120" i="28"/>
  <c r="L120" i="28"/>
  <c r="I120" i="28"/>
  <c r="K126" i="28"/>
  <c r="J126" i="28"/>
  <c r="M126" i="28"/>
  <c r="L126" i="28"/>
  <c r="I126" i="28"/>
  <c r="K139" i="28"/>
  <c r="J139" i="28"/>
  <c r="M139" i="28"/>
  <c r="L139" i="28"/>
  <c r="I139" i="28"/>
  <c r="K145" i="28"/>
  <c r="J145" i="28"/>
  <c r="M145" i="28"/>
  <c r="L145" i="28"/>
  <c r="I145" i="28"/>
  <c r="K152" i="28"/>
  <c r="J152" i="28"/>
  <c r="M152" i="28"/>
  <c r="H160" i="28"/>
  <c r="L152" i="28"/>
  <c r="I152" i="28"/>
  <c r="K158" i="28"/>
  <c r="J158" i="28"/>
  <c r="M158" i="28"/>
  <c r="L158" i="28"/>
  <c r="I158" i="28"/>
  <c r="I92" i="28"/>
  <c r="L92" i="28"/>
  <c r="K92" i="28"/>
  <c r="M92" i="28"/>
  <c r="J92" i="28"/>
  <c r="I98" i="28"/>
  <c r="L98" i="28"/>
  <c r="K98" i="28"/>
  <c r="J98" i="28"/>
  <c r="M98" i="28"/>
  <c r="I111" i="28"/>
  <c r="L111" i="28"/>
  <c r="K111" i="28"/>
  <c r="J111" i="28"/>
  <c r="M111" i="28"/>
  <c r="I117" i="28"/>
  <c r="L117" i="28"/>
  <c r="K117" i="28"/>
  <c r="J117" i="28"/>
  <c r="M117" i="28"/>
  <c r="I124" i="28"/>
  <c r="H132" i="28"/>
  <c r="L124" i="28"/>
  <c r="K124" i="28"/>
  <c r="J124" i="28"/>
  <c r="M124" i="28"/>
  <c r="I130" i="28"/>
  <c r="L130" i="28"/>
  <c r="K130" i="28"/>
  <c r="J130" i="28"/>
  <c r="M130" i="28"/>
  <c r="I137" i="28"/>
  <c r="L137" i="28"/>
  <c r="K137" i="28"/>
  <c r="J137" i="28"/>
  <c r="M137" i="28"/>
  <c r="I143" i="28"/>
  <c r="L143" i="28"/>
  <c r="K143" i="28"/>
  <c r="J143" i="28"/>
  <c r="M143" i="28"/>
  <c r="I150" i="28"/>
  <c r="L150" i="28"/>
  <c r="K150" i="28"/>
  <c r="J150" i="28"/>
  <c r="M150" i="28"/>
  <c r="I156" i="28"/>
  <c r="L156" i="28"/>
  <c r="K156" i="28"/>
  <c r="J156" i="28"/>
  <c r="M156" i="28"/>
  <c r="J78" i="28"/>
  <c r="L78" i="28"/>
  <c r="K78" i="28"/>
  <c r="M78" i="28"/>
  <c r="I78" i="28"/>
  <c r="K84" i="28"/>
  <c r="J84" i="28"/>
  <c r="M84" i="28"/>
  <c r="I84" i="28"/>
  <c r="L84" i="28"/>
  <c r="M97" i="28"/>
  <c r="K97" i="28"/>
  <c r="J97" i="28"/>
  <c r="L97" i="28"/>
  <c r="I97" i="28"/>
  <c r="M103" i="28"/>
  <c r="K103" i="28"/>
  <c r="J103" i="28"/>
  <c r="I103" i="28"/>
  <c r="L103" i="28"/>
  <c r="M110" i="28"/>
  <c r="K110" i="28"/>
  <c r="J110" i="28"/>
  <c r="I110" i="28"/>
  <c r="L110" i="28"/>
  <c r="H118" i="28"/>
  <c r="M116" i="28"/>
  <c r="K116" i="28"/>
  <c r="J116" i="28"/>
  <c r="I116" i="28"/>
  <c r="L116" i="28"/>
  <c r="M123" i="28"/>
  <c r="K123" i="28"/>
  <c r="J123" i="28"/>
  <c r="I123" i="28"/>
  <c r="L123" i="28"/>
  <c r="M129" i="28"/>
  <c r="K129" i="28"/>
  <c r="J129" i="28"/>
  <c r="I129" i="28"/>
  <c r="L129" i="28"/>
  <c r="M136" i="28"/>
  <c r="K136" i="28"/>
  <c r="J136" i="28"/>
  <c r="I136" i="28"/>
  <c r="L136" i="28"/>
  <c r="M142" i="28"/>
  <c r="K142" i="28"/>
  <c r="J142" i="28"/>
  <c r="I142" i="28"/>
  <c r="L142" i="28"/>
  <c r="M149" i="28"/>
  <c r="K149" i="28"/>
  <c r="J149" i="28"/>
  <c r="I149" i="28"/>
  <c r="L149" i="28"/>
  <c r="M155" i="28"/>
  <c r="K155" i="28"/>
  <c r="J155" i="28"/>
  <c r="I155" i="28"/>
  <c r="L155" i="28"/>
  <c r="J99" i="28"/>
  <c r="I99" i="28"/>
  <c r="M99" i="28"/>
  <c r="L99" i="28"/>
  <c r="K99" i="28"/>
  <c r="M89" i="28"/>
  <c r="L89" i="28"/>
  <c r="J89" i="28"/>
  <c r="I89" i="28"/>
  <c r="K89" i="28"/>
  <c r="I79" i="28"/>
  <c r="K79" i="28"/>
  <c r="J79" i="28"/>
  <c r="M79" i="28"/>
  <c r="L79" i="28"/>
  <c r="K74" i="28"/>
  <c r="M74" i="28"/>
  <c r="I74" i="28"/>
  <c r="L74" i="28"/>
  <c r="J74" i="28"/>
  <c r="I66" i="28"/>
  <c r="L66" i="28"/>
  <c r="K66" i="28"/>
  <c r="J66" i="28"/>
  <c r="M66" i="28"/>
  <c r="I59" i="28"/>
  <c r="L59" i="28"/>
  <c r="K59" i="28"/>
  <c r="J59" i="28"/>
  <c r="M59" i="28"/>
  <c r="I53" i="28"/>
  <c r="L53" i="28"/>
  <c r="K53" i="28"/>
  <c r="J53" i="28"/>
  <c r="M53" i="28"/>
  <c r="I46" i="28"/>
  <c r="L46" i="28"/>
  <c r="K46" i="28"/>
  <c r="J46" i="28"/>
  <c r="M46" i="28"/>
  <c r="I40" i="28"/>
  <c r="H48" i="28"/>
  <c r="L40" i="28"/>
  <c r="K40" i="28"/>
  <c r="J40" i="28"/>
  <c r="M40" i="28"/>
  <c r="I33" i="28"/>
  <c r="L33" i="28"/>
  <c r="K33" i="28"/>
  <c r="J33" i="28"/>
  <c r="M33" i="28"/>
  <c r="I27" i="28"/>
  <c r="L27" i="28"/>
  <c r="K27" i="28"/>
  <c r="J27" i="28"/>
  <c r="M27" i="28"/>
  <c r="I14" i="28"/>
  <c r="L14" i="28"/>
  <c r="K14" i="28"/>
  <c r="J14" i="28"/>
  <c r="M14" i="28"/>
  <c r="I8" i="28"/>
  <c r="L8" i="28"/>
  <c r="K8" i="28"/>
  <c r="J8" i="28"/>
  <c r="M8" i="28"/>
  <c r="J151" i="28"/>
  <c r="I151" i="28"/>
  <c r="M151" i="28"/>
  <c r="L151" i="28"/>
  <c r="K151" i="28"/>
  <c r="J112" i="28"/>
  <c r="I112" i="28"/>
  <c r="M112" i="28"/>
  <c r="L112" i="28"/>
  <c r="K112" i="28"/>
  <c r="M96" i="28"/>
  <c r="H104" i="28"/>
  <c r="L96" i="28"/>
  <c r="J96" i="28"/>
  <c r="I96" i="28"/>
  <c r="K96" i="28"/>
  <c r="M83" i="28"/>
  <c r="J83" i="28"/>
  <c r="I83" i="28"/>
  <c r="L83" i="28"/>
  <c r="K83" i="28"/>
  <c r="I72" i="28"/>
  <c r="K72" i="28"/>
  <c r="M72" i="28"/>
  <c r="L72" i="28"/>
  <c r="J72" i="28"/>
  <c r="K68" i="28"/>
  <c r="J68" i="28"/>
  <c r="H76" i="28"/>
  <c r="M68" i="28"/>
  <c r="L68" i="28"/>
  <c r="I68" i="28"/>
  <c r="K61" i="28"/>
  <c r="J61" i="28"/>
  <c r="M61" i="28"/>
  <c r="L61" i="28"/>
  <c r="I61" i="28"/>
  <c r="K55" i="28"/>
  <c r="J55" i="28"/>
  <c r="M55" i="28"/>
  <c r="L55" i="28"/>
  <c r="I55" i="28"/>
  <c r="K42" i="28"/>
  <c r="J42" i="28"/>
  <c r="M42" i="28"/>
  <c r="L42" i="28"/>
  <c r="I42" i="28"/>
  <c r="K36" i="28"/>
  <c r="J36" i="28"/>
  <c r="M36" i="28"/>
  <c r="L36" i="28"/>
  <c r="I36" i="28"/>
  <c r="K29" i="28"/>
  <c r="J29" i="28"/>
  <c r="M29" i="28"/>
  <c r="L29" i="28"/>
  <c r="I29" i="28"/>
  <c r="K23" i="28"/>
  <c r="J23" i="28"/>
  <c r="M23" i="28"/>
  <c r="L23" i="28"/>
  <c r="I23" i="28"/>
  <c r="K16" i="28"/>
  <c r="J16" i="28"/>
  <c r="M16" i="28"/>
  <c r="L16" i="28"/>
  <c r="I16" i="28"/>
  <c r="K10" i="28"/>
  <c r="J10" i="28"/>
  <c r="M10" i="28"/>
  <c r="L10" i="28"/>
  <c r="I10" i="28"/>
  <c r="J157" i="28"/>
  <c r="I157" i="28"/>
  <c r="M157" i="28"/>
  <c r="L157" i="28"/>
  <c r="K157" i="28"/>
  <c r="I85" i="28"/>
  <c r="L85" i="28"/>
  <c r="K85" i="28"/>
  <c r="J85" i="28"/>
  <c r="M85" i="28"/>
  <c r="L69" i="28"/>
  <c r="K69" i="28"/>
  <c r="I69" i="28"/>
  <c r="M69" i="28"/>
  <c r="J69" i="28"/>
  <c r="L56" i="28"/>
  <c r="K56" i="28"/>
  <c r="I56" i="28"/>
  <c r="M56" i="28"/>
  <c r="J56" i="28"/>
  <c r="L50" i="28"/>
  <c r="K50" i="28"/>
  <c r="I50" i="28"/>
  <c r="M50" i="28"/>
  <c r="J50" i="28"/>
  <c r="L43" i="28"/>
  <c r="K43" i="28"/>
  <c r="I43" i="28"/>
  <c r="M43" i="28"/>
  <c r="J43" i="28"/>
  <c r="L37" i="28"/>
  <c r="K37" i="28"/>
  <c r="I37" i="28"/>
  <c r="M37" i="28"/>
  <c r="J37" i="28"/>
  <c r="L30" i="28"/>
  <c r="K30" i="28"/>
  <c r="I30" i="28"/>
  <c r="M30" i="28"/>
  <c r="J30" i="28"/>
  <c r="L24" i="28"/>
  <c r="K24" i="28"/>
  <c r="I24" i="28"/>
  <c r="M24" i="28"/>
  <c r="J24" i="28"/>
  <c r="L17" i="28"/>
  <c r="K17" i="28"/>
  <c r="I17" i="28"/>
  <c r="M17" i="28"/>
  <c r="J17" i="28"/>
  <c r="L11" i="28"/>
  <c r="K11" i="28"/>
  <c r="I11" i="28"/>
  <c r="M11" i="28"/>
  <c r="J11" i="28"/>
  <c r="J125" i="28"/>
  <c r="I125" i="28"/>
  <c r="M125" i="28"/>
  <c r="L125" i="28"/>
  <c r="K125" i="28"/>
  <c r="J86" i="28"/>
  <c r="M86" i="28"/>
  <c r="L86" i="28"/>
  <c r="K86" i="28"/>
  <c r="I86" i="28"/>
  <c r="K81" i="28"/>
  <c r="M81" i="28"/>
  <c r="J81" i="28"/>
  <c r="I81" i="28"/>
  <c r="L81" i="28"/>
  <c r="M70" i="28"/>
  <c r="L70" i="28"/>
  <c r="J70" i="28"/>
  <c r="I70" i="28"/>
  <c r="K70" i="28"/>
  <c r="M64" i="28"/>
  <c r="L64" i="28"/>
  <c r="J64" i="28"/>
  <c r="I64" i="28"/>
  <c r="K64" i="28"/>
  <c r="M57" i="28"/>
  <c r="L57" i="28"/>
  <c r="J57" i="28"/>
  <c r="I57" i="28"/>
  <c r="K57" i="28"/>
  <c r="M51" i="28"/>
  <c r="L51" i="28"/>
  <c r="J51" i="28"/>
  <c r="I51" i="28"/>
  <c r="K51" i="28"/>
  <c r="M44" i="28"/>
  <c r="L44" i="28"/>
  <c r="J44" i="28"/>
  <c r="I44" i="28"/>
  <c r="K44" i="28"/>
  <c r="M38" i="28"/>
  <c r="L38" i="28"/>
  <c r="J38" i="28"/>
  <c r="I38" i="28"/>
  <c r="K38" i="28"/>
  <c r="M31" i="28"/>
  <c r="L31" i="28"/>
  <c r="J31" i="28"/>
  <c r="I31" i="28"/>
  <c r="K31" i="28"/>
  <c r="M25" i="28"/>
  <c r="L25" i="28"/>
  <c r="J25" i="28"/>
  <c r="I25" i="28"/>
  <c r="K25" i="28"/>
  <c r="M18" i="28"/>
  <c r="L18" i="28"/>
  <c r="J18" i="28"/>
  <c r="I18" i="28"/>
  <c r="K18" i="28"/>
  <c r="M12" i="28"/>
  <c r="H20" i="28"/>
  <c r="L12" i="28"/>
  <c r="J12" i="28"/>
  <c r="I12" i="28"/>
  <c r="K12" i="28"/>
  <c r="I45" i="27"/>
  <c r="K45" i="27"/>
  <c r="J45" i="27"/>
  <c r="I43" i="27"/>
  <c r="K43" i="27"/>
  <c r="J43" i="27"/>
  <c r="I41" i="27"/>
  <c r="K41" i="27"/>
  <c r="J41" i="27"/>
  <c r="I39" i="27"/>
  <c r="K39" i="27"/>
  <c r="J39" i="27"/>
  <c r="I37" i="27"/>
  <c r="K37" i="27"/>
  <c r="J37" i="27"/>
  <c r="I32" i="27"/>
  <c r="K32" i="27"/>
  <c r="J32" i="27"/>
  <c r="I30" i="27"/>
  <c r="K30" i="27"/>
  <c r="J30" i="27"/>
  <c r="I28" i="27"/>
  <c r="K28" i="27"/>
  <c r="J28" i="27"/>
  <c r="I26" i="27"/>
  <c r="H34" i="27"/>
  <c r="K26" i="27"/>
  <c r="J26" i="27"/>
  <c r="I24" i="27"/>
  <c r="K24" i="27"/>
  <c r="J24" i="27"/>
  <c r="I22" i="27"/>
  <c r="K22" i="27"/>
  <c r="J22" i="27"/>
  <c r="I19" i="27"/>
  <c r="K19" i="27"/>
  <c r="J19" i="27"/>
  <c r="I17" i="27"/>
  <c r="K17" i="27"/>
  <c r="J17" i="27"/>
  <c r="I15" i="27"/>
  <c r="K15" i="27"/>
  <c r="J15" i="27"/>
  <c r="I13" i="27"/>
  <c r="K13" i="27"/>
  <c r="J13" i="27"/>
  <c r="I11" i="27"/>
  <c r="K11" i="27"/>
  <c r="J11" i="27"/>
  <c r="I9" i="27"/>
  <c r="K9" i="27"/>
  <c r="J9" i="27"/>
  <c r="K51" i="27"/>
  <c r="I51" i="27"/>
  <c r="J51" i="27"/>
  <c r="K53" i="27"/>
  <c r="I53" i="27"/>
  <c r="J53" i="27"/>
  <c r="K55" i="27"/>
  <c r="I55" i="27"/>
  <c r="J55" i="27"/>
  <c r="K57" i="27"/>
  <c r="I57" i="27"/>
  <c r="J57" i="27"/>
  <c r="K59" i="27"/>
  <c r="I59" i="27"/>
  <c r="J59" i="27"/>
  <c r="K61" i="27"/>
  <c r="I61" i="27"/>
  <c r="J61" i="27"/>
  <c r="K64" i="27"/>
  <c r="I64" i="27"/>
  <c r="J64" i="27"/>
  <c r="K66" i="27"/>
  <c r="I66" i="27"/>
  <c r="J66" i="27"/>
  <c r="K68" i="27"/>
  <c r="I68" i="27"/>
  <c r="H76" i="27"/>
  <c r="J68" i="27"/>
  <c r="K70" i="27"/>
  <c r="I70" i="27"/>
  <c r="J70" i="27"/>
  <c r="K72" i="27"/>
  <c r="I72" i="27"/>
  <c r="J72" i="27"/>
  <c r="K74" i="27"/>
  <c r="I74" i="27"/>
  <c r="J74" i="27"/>
  <c r="K79" i="27"/>
  <c r="I79" i="27"/>
  <c r="J79" i="27"/>
  <c r="K81" i="27"/>
  <c r="I81" i="27"/>
  <c r="J81" i="27"/>
  <c r="K83" i="27"/>
  <c r="I83" i="27"/>
  <c r="J83" i="27"/>
  <c r="K85" i="27"/>
  <c r="I85" i="27"/>
  <c r="J85" i="27"/>
  <c r="K87" i="27"/>
  <c r="I87" i="27"/>
  <c r="J87" i="27"/>
  <c r="K89" i="27"/>
  <c r="I89" i="27"/>
  <c r="J89" i="27"/>
  <c r="K92" i="27"/>
  <c r="I92" i="27"/>
  <c r="J92" i="27"/>
  <c r="K94" i="27"/>
  <c r="I94" i="27"/>
  <c r="J94" i="27"/>
  <c r="K96" i="27"/>
  <c r="I96" i="27"/>
  <c r="H104" i="27"/>
  <c r="J96" i="27"/>
  <c r="K98" i="27"/>
  <c r="I98" i="27"/>
  <c r="J98" i="27"/>
  <c r="K100" i="27"/>
  <c r="I100" i="27"/>
  <c r="J100" i="27"/>
  <c r="K102" i="27"/>
  <c r="I102" i="27"/>
  <c r="J102" i="27"/>
  <c r="K107" i="27"/>
  <c r="I107" i="27"/>
  <c r="J107" i="27"/>
  <c r="K109" i="27"/>
  <c r="I109" i="27"/>
  <c r="J109" i="27"/>
  <c r="K111" i="27"/>
  <c r="I111" i="27"/>
  <c r="J111" i="27"/>
  <c r="K113" i="27"/>
  <c r="I113" i="27"/>
  <c r="J113" i="27"/>
  <c r="K115" i="27"/>
  <c r="I115" i="27"/>
  <c r="J115" i="27"/>
  <c r="K117" i="27"/>
  <c r="I117" i="27"/>
  <c r="J117" i="27"/>
  <c r="K120" i="27"/>
  <c r="I120" i="27"/>
  <c r="J120" i="27"/>
  <c r="K122" i="27"/>
  <c r="I122" i="27"/>
  <c r="J122" i="27"/>
  <c r="K124" i="27"/>
  <c r="I124" i="27"/>
  <c r="H132" i="27"/>
  <c r="J124" i="27"/>
  <c r="K126" i="27"/>
  <c r="I126" i="27"/>
  <c r="J126" i="27"/>
  <c r="K128" i="27"/>
  <c r="I128" i="27"/>
  <c r="J128" i="27"/>
  <c r="K130" i="27"/>
  <c r="I130" i="27"/>
  <c r="J130" i="27"/>
  <c r="K135" i="27"/>
  <c r="I135" i="27"/>
  <c r="J135" i="27"/>
  <c r="K137" i="27"/>
  <c r="I137" i="27"/>
  <c r="J137" i="27"/>
  <c r="K139" i="27"/>
  <c r="I139" i="27"/>
  <c r="J139" i="27"/>
  <c r="K141" i="27"/>
  <c r="I141" i="27"/>
  <c r="J141" i="27"/>
  <c r="K143" i="27"/>
  <c r="I143" i="27"/>
  <c r="J143" i="27"/>
  <c r="K145" i="27"/>
  <c r="I145" i="27"/>
  <c r="J145" i="27"/>
  <c r="K148" i="27"/>
  <c r="I148" i="27"/>
  <c r="J148" i="27"/>
  <c r="K150" i="27"/>
  <c r="I150" i="27"/>
  <c r="J150" i="27"/>
  <c r="K152" i="27"/>
  <c r="I152" i="27"/>
  <c r="H160" i="27"/>
  <c r="J152" i="27"/>
  <c r="K154" i="27"/>
  <c r="I154" i="27"/>
  <c r="J154" i="27"/>
  <c r="K156" i="27"/>
  <c r="I156" i="27"/>
  <c r="J156" i="27"/>
  <c r="K158" i="27"/>
  <c r="I158" i="27"/>
  <c r="J158" i="27"/>
  <c r="K47" i="27"/>
  <c r="J47" i="27"/>
  <c r="I47" i="27"/>
  <c r="K50" i="27"/>
  <c r="J50" i="27"/>
  <c r="I50" i="27"/>
  <c r="K52" i="27"/>
  <c r="J52" i="27"/>
  <c r="I52" i="27"/>
  <c r="H62" i="27"/>
  <c r="K54" i="27"/>
  <c r="J54" i="27"/>
  <c r="I54" i="27"/>
  <c r="K56" i="27"/>
  <c r="J56" i="27"/>
  <c r="I56" i="27"/>
  <c r="K58" i="27"/>
  <c r="J58" i="27"/>
  <c r="I58" i="27"/>
  <c r="K60" i="27"/>
  <c r="J60" i="27"/>
  <c r="I60" i="27"/>
  <c r="K65" i="27"/>
  <c r="J65" i="27"/>
  <c r="I65" i="27"/>
  <c r="K67" i="27"/>
  <c r="J67" i="27"/>
  <c r="I67" i="27"/>
  <c r="K69" i="27"/>
  <c r="J69" i="27"/>
  <c r="I69" i="27"/>
  <c r="K71" i="27"/>
  <c r="J71" i="27"/>
  <c r="I71" i="27"/>
  <c r="K73" i="27"/>
  <c r="J73" i="27"/>
  <c r="I73" i="27"/>
  <c r="K75" i="27"/>
  <c r="J75" i="27"/>
  <c r="I75" i="27"/>
  <c r="K78" i="27"/>
  <c r="J78" i="27"/>
  <c r="I78" i="27"/>
  <c r="K80" i="27"/>
  <c r="J80" i="27"/>
  <c r="I80" i="27"/>
  <c r="H90" i="27"/>
  <c r="K82" i="27"/>
  <c r="J82" i="27"/>
  <c r="I82" i="27"/>
  <c r="K84" i="27"/>
  <c r="J84" i="27"/>
  <c r="I84" i="27"/>
  <c r="K86" i="27"/>
  <c r="J86" i="27"/>
  <c r="I86" i="27"/>
  <c r="K88" i="27"/>
  <c r="J88" i="27"/>
  <c r="I88" i="27"/>
  <c r="K93" i="27"/>
  <c r="J93" i="27"/>
  <c r="I93" i="27"/>
  <c r="K95" i="27"/>
  <c r="J95" i="27"/>
  <c r="I95" i="27"/>
  <c r="K97" i="27"/>
  <c r="J97" i="27"/>
  <c r="I97" i="27"/>
  <c r="K99" i="27"/>
  <c r="J99" i="27"/>
  <c r="I99" i="27"/>
  <c r="K101" i="27"/>
  <c r="J101" i="27"/>
  <c r="I101" i="27"/>
  <c r="K103" i="27"/>
  <c r="J103" i="27"/>
  <c r="I103" i="27"/>
  <c r="K106" i="27"/>
  <c r="J106" i="27"/>
  <c r="I106" i="27"/>
  <c r="K108" i="27"/>
  <c r="J108" i="27"/>
  <c r="I108" i="27"/>
  <c r="H118" i="27"/>
  <c r="K110" i="27"/>
  <c r="J110" i="27"/>
  <c r="I110" i="27"/>
  <c r="K112" i="27"/>
  <c r="J112" i="27"/>
  <c r="I112" i="27"/>
  <c r="K114" i="27"/>
  <c r="J114" i="27"/>
  <c r="I114" i="27"/>
  <c r="K116" i="27"/>
  <c r="J116" i="27"/>
  <c r="I116" i="27"/>
  <c r="K121" i="27"/>
  <c r="J121" i="27"/>
  <c r="I121" i="27"/>
  <c r="K123" i="27"/>
  <c r="J123" i="27"/>
  <c r="I123" i="27"/>
  <c r="K125" i="27"/>
  <c r="J125" i="27"/>
  <c r="I125" i="27"/>
  <c r="K127" i="27"/>
  <c r="J127" i="27"/>
  <c r="I127" i="27"/>
  <c r="K129" i="27"/>
  <c r="J129" i="27"/>
  <c r="I129" i="27"/>
  <c r="K131" i="27"/>
  <c r="J131" i="27"/>
  <c r="I131" i="27"/>
  <c r="K134" i="27"/>
  <c r="J134" i="27"/>
  <c r="I134" i="27"/>
  <c r="K136" i="27"/>
  <c r="J136" i="27"/>
  <c r="I136" i="27"/>
  <c r="H146" i="27"/>
  <c r="K138" i="27"/>
  <c r="J138" i="27"/>
  <c r="I138" i="27"/>
  <c r="K140" i="27"/>
  <c r="J140" i="27"/>
  <c r="I140" i="27"/>
  <c r="K142" i="27"/>
  <c r="J142" i="27"/>
  <c r="I142" i="27"/>
  <c r="K144" i="27"/>
  <c r="J144" i="27"/>
  <c r="I144" i="27"/>
  <c r="K149" i="27"/>
  <c r="J149" i="27"/>
  <c r="I149" i="27"/>
  <c r="K151" i="27"/>
  <c r="J151" i="27"/>
  <c r="I151" i="27"/>
  <c r="K153" i="27"/>
  <c r="J153" i="27"/>
  <c r="I153" i="27"/>
  <c r="K155" i="27"/>
  <c r="J155" i="27"/>
  <c r="I155" i="27"/>
  <c r="K157" i="27"/>
  <c r="J157" i="27"/>
  <c r="I157" i="27"/>
  <c r="K159" i="27"/>
  <c r="J159" i="27"/>
  <c r="I159" i="27"/>
  <c r="K44" i="27"/>
  <c r="I44" i="27"/>
  <c r="J44" i="27"/>
  <c r="K42" i="27"/>
  <c r="I42" i="27"/>
  <c r="J42" i="27"/>
  <c r="H48" i="27"/>
  <c r="K40" i="27"/>
  <c r="I40" i="27"/>
  <c r="J40" i="27"/>
  <c r="K38" i="27"/>
  <c r="I38" i="27"/>
  <c r="J38" i="27"/>
  <c r="K36" i="27"/>
  <c r="I36" i="27"/>
  <c r="J36" i="27"/>
  <c r="K33" i="27"/>
  <c r="I33" i="27"/>
  <c r="J33" i="27"/>
  <c r="K31" i="27"/>
  <c r="I31" i="27"/>
  <c r="J31" i="27"/>
  <c r="K29" i="27"/>
  <c r="I29" i="27"/>
  <c r="J29" i="27"/>
  <c r="K27" i="27"/>
  <c r="I27" i="27"/>
  <c r="J27" i="27"/>
  <c r="K25" i="27"/>
  <c r="I25" i="27"/>
  <c r="J25" i="27"/>
  <c r="K23" i="27"/>
  <c r="I23" i="27"/>
  <c r="J23" i="27"/>
  <c r="K18" i="27"/>
  <c r="I18" i="27"/>
  <c r="J18" i="27"/>
  <c r="K16" i="27"/>
  <c r="I16" i="27"/>
  <c r="J16" i="27"/>
  <c r="K14" i="27"/>
  <c r="I14" i="27"/>
  <c r="J14" i="27"/>
  <c r="J32" i="26"/>
  <c r="K32" i="26"/>
  <c r="I32" i="26"/>
  <c r="J30" i="26"/>
  <c r="K30" i="26"/>
  <c r="I30" i="26"/>
  <c r="J28" i="26"/>
  <c r="K28" i="26"/>
  <c r="I28" i="26"/>
  <c r="J26" i="26"/>
  <c r="K26" i="26"/>
  <c r="H34" i="26"/>
  <c r="I26" i="26"/>
  <c r="J24" i="26"/>
  <c r="K24" i="26"/>
  <c r="I24" i="26"/>
  <c r="J22" i="26"/>
  <c r="K22" i="26"/>
  <c r="I22" i="26"/>
  <c r="J19" i="26"/>
  <c r="K19" i="26"/>
  <c r="I19" i="26"/>
  <c r="J18" i="26"/>
  <c r="I18" i="26"/>
  <c r="K18" i="26"/>
  <c r="J74" i="25"/>
  <c r="L74" i="25"/>
  <c r="N105" i="25"/>
  <c r="N104" i="25"/>
  <c r="N103" i="25"/>
  <c r="N102" i="25"/>
  <c r="N101" i="25"/>
  <c r="N100" i="25"/>
  <c r="N99" i="25"/>
  <c r="N98" i="25"/>
  <c r="N97" i="25"/>
  <c r="N61" i="25"/>
  <c r="N60" i="25"/>
  <c r="N59" i="25"/>
  <c r="N58" i="25"/>
  <c r="N57" i="25"/>
  <c r="N56" i="25"/>
  <c r="N55" i="25"/>
  <c r="N54" i="25"/>
  <c r="N53" i="25"/>
  <c r="N30" i="25"/>
  <c r="N39" i="25"/>
  <c r="N38" i="25"/>
  <c r="N37" i="25"/>
  <c r="N36" i="25"/>
  <c r="N35" i="25"/>
  <c r="N34" i="25"/>
  <c r="N33" i="25"/>
  <c r="N32" i="25"/>
  <c r="N31" i="25"/>
  <c r="N81" i="25"/>
  <c r="N78" i="25"/>
  <c r="N75" i="25"/>
  <c r="N82" i="25"/>
  <c r="N79" i="25"/>
  <c r="N76" i="25"/>
  <c r="N77" i="25"/>
  <c r="N83" i="25"/>
  <c r="N80" i="25"/>
  <c r="N61" i="24"/>
  <c r="N58" i="24"/>
  <c r="N55" i="24"/>
  <c r="N60" i="24"/>
  <c r="N57" i="24"/>
  <c r="N54" i="24"/>
  <c r="N59" i="24"/>
  <c r="N56" i="24"/>
  <c r="N53" i="24"/>
  <c r="L85" i="25"/>
  <c r="L43" i="25"/>
  <c r="L40" i="25"/>
  <c r="L39" i="25"/>
  <c r="L38" i="25"/>
  <c r="L37" i="25"/>
  <c r="L36" i="25"/>
  <c r="L35" i="25"/>
  <c r="L34" i="25"/>
  <c r="L33" i="25"/>
  <c r="L32" i="25"/>
  <c r="L31" i="25"/>
  <c r="L108" i="25"/>
  <c r="L63" i="25"/>
  <c r="L109" i="25"/>
  <c r="L106" i="25"/>
  <c r="L105" i="25"/>
  <c r="L104" i="25"/>
  <c r="L103" i="25"/>
  <c r="L102" i="25"/>
  <c r="L101" i="25"/>
  <c r="L100" i="25"/>
  <c r="L99" i="25"/>
  <c r="L98" i="25"/>
  <c r="L97" i="25"/>
  <c r="L64" i="25"/>
  <c r="L87" i="25"/>
  <c r="L84" i="25"/>
  <c r="L83" i="25"/>
  <c r="L82" i="25"/>
  <c r="L81" i="25"/>
  <c r="L80" i="25"/>
  <c r="L79" i="25"/>
  <c r="L78" i="25"/>
  <c r="L77" i="25"/>
  <c r="L76" i="25"/>
  <c r="L75" i="25"/>
  <c r="L42" i="25"/>
  <c r="L30" i="25"/>
  <c r="L107" i="25"/>
  <c r="L65" i="25"/>
  <c r="L62" i="25"/>
  <c r="L61" i="25"/>
  <c r="L60" i="25"/>
  <c r="L59" i="25"/>
  <c r="L58" i="25"/>
  <c r="L57" i="25"/>
  <c r="L56" i="25"/>
  <c r="L55" i="25"/>
  <c r="L54" i="25"/>
  <c r="L53" i="25"/>
  <c r="L86" i="25"/>
  <c r="L41" i="25"/>
  <c r="J159" i="26"/>
  <c r="I159" i="26"/>
  <c r="K159" i="26"/>
  <c r="J155" i="26"/>
  <c r="I155" i="26"/>
  <c r="K155" i="26"/>
  <c r="J151" i="26"/>
  <c r="I151" i="26"/>
  <c r="K151" i="26"/>
  <c r="J142" i="26"/>
  <c r="I142" i="26"/>
  <c r="K142" i="26"/>
  <c r="J138" i="26"/>
  <c r="I138" i="26"/>
  <c r="K138" i="26"/>
  <c r="H146" i="26"/>
  <c r="J134" i="26"/>
  <c r="I134" i="26"/>
  <c r="K134" i="26"/>
  <c r="J129" i="26"/>
  <c r="I129" i="26"/>
  <c r="K129" i="26"/>
  <c r="J125" i="26"/>
  <c r="I125" i="26"/>
  <c r="K125" i="26"/>
  <c r="J121" i="26"/>
  <c r="I121" i="26"/>
  <c r="K121" i="26"/>
  <c r="J116" i="26"/>
  <c r="I116" i="26"/>
  <c r="K116" i="26"/>
  <c r="J112" i="26"/>
  <c r="I112" i="26"/>
  <c r="K112" i="26"/>
  <c r="J108" i="26"/>
  <c r="I108" i="26"/>
  <c r="K108" i="26"/>
  <c r="J103" i="26"/>
  <c r="I103" i="26"/>
  <c r="K103" i="26"/>
  <c r="J99" i="26"/>
  <c r="I99" i="26"/>
  <c r="K99" i="26"/>
  <c r="J95" i="26"/>
  <c r="I95" i="26"/>
  <c r="K95" i="26"/>
  <c r="J86" i="26"/>
  <c r="I86" i="26"/>
  <c r="K86" i="26"/>
  <c r="J82" i="26"/>
  <c r="I82" i="26"/>
  <c r="K82" i="26"/>
  <c r="H90" i="26"/>
  <c r="J78" i="26"/>
  <c r="I78" i="26"/>
  <c r="K78" i="26"/>
  <c r="J73" i="26"/>
  <c r="I73" i="26"/>
  <c r="K73" i="26"/>
  <c r="J69" i="26"/>
  <c r="I69" i="26"/>
  <c r="K69" i="26"/>
  <c r="J65" i="26"/>
  <c r="I65" i="26"/>
  <c r="K65" i="26"/>
  <c r="J60" i="26"/>
  <c r="I60" i="26"/>
  <c r="K60" i="26"/>
  <c r="J56" i="26"/>
  <c r="I56" i="26"/>
  <c r="K56" i="26"/>
  <c r="J52" i="26"/>
  <c r="I52" i="26"/>
  <c r="K52" i="26"/>
  <c r="J47" i="26"/>
  <c r="I47" i="26"/>
  <c r="K47" i="26"/>
  <c r="J43" i="26"/>
  <c r="I43" i="26"/>
  <c r="K43" i="26"/>
  <c r="J39" i="26"/>
  <c r="I39" i="26"/>
  <c r="K39" i="26"/>
  <c r="J15" i="26"/>
  <c r="I15" i="26"/>
  <c r="K15" i="26"/>
  <c r="J13" i="26"/>
  <c r="I13" i="26"/>
  <c r="K13" i="26"/>
  <c r="J11" i="26"/>
  <c r="I11" i="26"/>
  <c r="K11" i="26"/>
  <c r="J9" i="26"/>
  <c r="I9" i="26"/>
  <c r="K9" i="26"/>
  <c r="J23" i="26"/>
  <c r="I23" i="26"/>
  <c r="K23" i="26"/>
  <c r="J25" i="26"/>
  <c r="I25" i="26"/>
  <c r="K25" i="26"/>
  <c r="J27" i="26"/>
  <c r="I27" i="26"/>
  <c r="K27" i="26"/>
  <c r="J29" i="26"/>
  <c r="I29" i="26"/>
  <c r="K29" i="26"/>
  <c r="J31" i="26"/>
  <c r="I31" i="26"/>
  <c r="K31" i="26"/>
  <c r="J33" i="26"/>
  <c r="I33" i="26"/>
  <c r="K33" i="26"/>
  <c r="J36" i="26"/>
  <c r="I36" i="26"/>
  <c r="K36" i="26"/>
  <c r="J38" i="26"/>
  <c r="I38" i="26"/>
  <c r="K38" i="26"/>
  <c r="J40" i="26"/>
  <c r="I40" i="26"/>
  <c r="H48" i="26"/>
  <c r="K40" i="26"/>
  <c r="J42" i="26"/>
  <c r="I42" i="26"/>
  <c r="K42" i="26"/>
  <c r="J44" i="26"/>
  <c r="I44" i="26"/>
  <c r="K44" i="26"/>
  <c r="J46" i="26"/>
  <c r="I46" i="26"/>
  <c r="K46" i="26"/>
  <c r="J51" i="26"/>
  <c r="I51" i="26"/>
  <c r="K51" i="26"/>
  <c r="J53" i="26"/>
  <c r="I53" i="26"/>
  <c r="K53" i="26"/>
  <c r="J55" i="26"/>
  <c r="I55" i="26"/>
  <c r="K55" i="26"/>
  <c r="J57" i="26"/>
  <c r="I57" i="26"/>
  <c r="K57" i="26"/>
  <c r="J59" i="26"/>
  <c r="I59" i="26"/>
  <c r="K59" i="26"/>
  <c r="J61" i="26"/>
  <c r="I61" i="26"/>
  <c r="K61" i="26"/>
  <c r="J64" i="26"/>
  <c r="I64" i="26"/>
  <c r="K64" i="26"/>
  <c r="J66" i="26"/>
  <c r="I66" i="26"/>
  <c r="K66" i="26"/>
  <c r="J68" i="26"/>
  <c r="I68" i="26"/>
  <c r="H76" i="26"/>
  <c r="K68" i="26"/>
  <c r="J70" i="26"/>
  <c r="I70" i="26"/>
  <c r="K70" i="26"/>
  <c r="J72" i="26"/>
  <c r="I72" i="26"/>
  <c r="K72" i="26"/>
  <c r="J74" i="26"/>
  <c r="I74" i="26"/>
  <c r="K74" i="26"/>
  <c r="J79" i="26"/>
  <c r="I79" i="26"/>
  <c r="K79" i="26"/>
  <c r="J81" i="26"/>
  <c r="I81" i="26"/>
  <c r="K81" i="26"/>
  <c r="J83" i="26"/>
  <c r="I83" i="26"/>
  <c r="K83" i="26"/>
  <c r="J85" i="26"/>
  <c r="I85" i="26"/>
  <c r="K85" i="26"/>
  <c r="J87" i="26"/>
  <c r="I87" i="26"/>
  <c r="K87" i="26"/>
  <c r="J89" i="26"/>
  <c r="I89" i="26"/>
  <c r="K89" i="26"/>
  <c r="J92" i="26"/>
  <c r="I92" i="26"/>
  <c r="K92" i="26"/>
  <c r="J94" i="26"/>
  <c r="I94" i="26"/>
  <c r="K94" i="26"/>
  <c r="J96" i="26"/>
  <c r="I96" i="26"/>
  <c r="H104" i="26"/>
  <c r="K96" i="26"/>
  <c r="J98" i="26"/>
  <c r="I98" i="26"/>
  <c r="K98" i="26"/>
  <c r="J100" i="26"/>
  <c r="I100" i="26"/>
  <c r="K100" i="26"/>
  <c r="J102" i="26"/>
  <c r="I102" i="26"/>
  <c r="K102" i="26"/>
  <c r="J107" i="26"/>
  <c r="I107" i="26"/>
  <c r="K107" i="26"/>
  <c r="J109" i="26"/>
  <c r="I109" i="26"/>
  <c r="K109" i="26"/>
  <c r="J111" i="26"/>
  <c r="I111" i="26"/>
  <c r="K111" i="26"/>
  <c r="J113" i="26"/>
  <c r="I113" i="26"/>
  <c r="K113" i="26"/>
  <c r="J115" i="26"/>
  <c r="I115" i="26"/>
  <c r="K115" i="26"/>
  <c r="J117" i="26"/>
  <c r="I117" i="26"/>
  <c r="K117" i="26"/>
  <c r="J120" i="26"/>
  <c r="I120" i="26"/>
  <c r="K120" i="26"/>
  <c r="J122" i="26"/>
  <c r="I122" i="26"/>
  <c r="K122" i="26"/>
  <c r="J124" i="26"/>
  <c r="I124" i="26"/>
  <c r="H132" i="26"/>
  <c r="K124" i="26"/>
  <c r="J126" i="26"/>
  <c r="I126" i="26"/>
  <c r="K126" i="26"/>
  <c r="J128" i="26"/>
  <c r="I128" i="26"/>
  <c r="K128" i="26"/>
  <c r="J130" i="26"/>
  <c r="I130" i="26"/>
  <c r="K130" i="26"/>
  <c r="J135" i="26"/>
  <c r="I135" i="26"/>
  <c r="K135" i="26"/>
  <c r="J137" i="26"/>
  <c r="I137" i="26"/>
  <c r="K137" i="26"/>
  <c r="J139" i="26"/>
  <c r="I139" i="26"/>
  <c r="K139" i="26"/>
  <c r="J141" i="26"/>
  <c r="I141" i="26"/>
  <c r="K141" i="26"/>
  <c r="J143" i="26"/>
  <c r="I143" i="26"/>
  <c r="K143" i="26"/>
  <c r="J145" i="26"/>
  <c r="I145" i="26"/>
  <c r="K145" i="26"/>
  <c r="J148" i="26"/>
  <c r="I148" i="26"/>
  <c r="K148" i="26"/>
  <c r="J150" i="26"/>
  <c r="I150" i="26"/>
  <c r="K150" i="26"/>
  <c r="J152" i="26"/>
  <c r="I152" i="26"/>
  <c r="H160" i="26"/>
  <c r="K152" i="26"/>
  <c r="J154" i="26"/>
  <c r="I154" i="26"/>
  <c r="K154" i="26"/>
  <c r="J156" i="26"/>
  <c r="I156" i="26"/>
  <c r="K156" i="26"/>
  <c r="J158" i="26"/>
  <c r="I158" i="26"/>
  <c r="K158" i="26"/>
  <c r="J107" i="25"/>
  <c r="J108" i="25"/>
  <c r="J109" i="25"/>
  <c r="J106" i="25"/>
  <c r="J105" i="25"/>
  <c r="J104" i="25"/>
  <c r="J103" i="25"/>
  <c r="J102" i="25"/>
  <c r="J101" i="25"/>
  <c r="J100" i="25"/>
  <c r="J99" i="25"/>
  <c r="J98" i="25"/>
  <c r="J97" i="25"/>
  <c r="J30" i="25"/>
  <c r="H96" i="25"/>
  <c r="J96" i="25"/>
  <c r="H30" i="25"/>
  <c r="H109" i="25"/>
  <c r="H106" i="25"/>
  <c r="H105" i="25"/>
  <c r="H104" i="25"/>
  <c r="H103" i="25"/>
  <c r="H102" i="25"/>
  <c r="H101" i="25"/>
  <c r="H100" i="25"/>
  <c r="H99" i="25"/>
  <c r="H98" i="25"/>
  <c r="H97" i="25"/>
  <c r="H107" i="25"/>
  <c r="H108" i="25"/>
  <c r="C73" i="25"/>
  <c r="D74" i="25" s="1"/>
  <c r="D8" i="25"/>
  <c r="C95" i="25"/>
  <c r="C29" i="25"/>
  <c r="F30" i="25" s="1"/>
  <c r="C51" i="25"/>
  <c r="D52" i="25" s="1"/>
  <c r="F8" i="25"/>
  <c r="K160" i="22"/>
  <c r="J160" i="22"/>
  <c r="L160" i="22"/>
  <c r="K151" i="22"/>
  <c r="J151" i="22"/>
  <c r="L151" i="22"/>
  <c r="K141" i="22"/>
  <c r="J141" i="22"/>
  <c r="L141" i="22"/>
  <c r="K131" i="22"/>
  <c r="J131" i="22"/>
  <c r="L131" i="22"/>
  <c r="K122" i="22"/>
  <c r="J122" i="22"/>
  <c r="L122" i="22"/>
  <c r="K112" i="22"/>
  <c r="J112" i="22"/>
  <c r="L112" i="22"/>
  <c r="K102" i="22"/>
  <c r="J102" i="22"/>
  <c r="L102" i="22"/>
  <c r="K93" i="22"/>
  <c r="J93" i="22"/>
  <c r="L93" i="22"/>
  <c r="I91" i="22"/>
  <c r="K83" i="22"/>
  <c r="J83" i="22"/>
  <c r="L83" i="22"/>
  <c r="K73" i="22"/>
  <c r="J73" i="22"/>
  <c r="L73" i="22"/>
  <c r="K54" i="22"/>
  <c r="J54" i="22"/>
  <c r="L54" i="22"/>
  <c r="K44" i="22"/>
  <c r="J44" i="22"/>
  <c r="L44" i="22"/>
  <c r="L15" i="22"/>
  <c r="J15" i="22"/>
  <c r="K15" i="22"/>
  <c r="L9" i="22"/>
  <c r="J9" i="22"/>
  <c r="K9" i="22"/>
  <c r="K157" i="22"/>
  <c r="L157" i="22"/>
  <c r="J157" i="22"/>
  <c r="K138" i="22"/>
  <c r="L138" i="22"/>
  <c r="J138" i="22"/>
  <c r="K128" i="22"/>
  <c r="L128" i="22"/>
  <c r="J128" i="22"/>
  <c r="K118" i="22"/>
  <c r="L118" i="22"/>
  <c r="J118" i="22"/>
  <c r="K109" i="22"/>
  <c r="L109" i="22"/>
  <c r="J109" i="22"/>
  <c r="K99" i="22"/>
  <c r="L99" i="22"/>
  <c r="J99" i="22"/>
  <c r="K89" i="22"/>
  <c r="L89" i="22"/>
  <c r="J89" i="22"/>
  <c r="K80" i="22"/>
  <c r="L80" i="22"/>
  <c r="J80" i="22"/>
  <c r="K70" i="22"/>
  <c r="L70" i="22"/>
  <c r="J70" i="22"/>
  <c r="K60" i="22"/>
  <c r="L60" i="22"/>
  <c r="J60" i="22"/>
  <c r="K51" i="22"/>
  <c r="L51" i="22"/>
  <c r="J51" i="22"/>
  <c r="L19" i="22"/>
  <c r="K19" i="22"/>
  <c r="J19" i="22"/>
  <c r="I21" i="22"/>
  <c r="K13" i="22"/>
  <c r="L13" i="22"/>
  <c r="J13" i="22"/>
  <c r="L43" i="22"/>
  <c r="K43" i="22"/>
  <c r="J43" i="22"/>
  <c r="K46" i="22"/>
  <c r="L46" i="22"/>
  <c r="J46" i="22"/>
  <c r="K53" i="22"/>
  <c r="L53" i="22"/>
  <c r="J53" i="22"/>
  <c r="K56" i="22"/>
  <c r="L56" i="22"/>
  <c r="J56" i="22"/>
  <c r="K59" i="22"/>
  <c r="J59" i="22"/>
  <c r="L59" i="22"/>
  <c r="K62" i="22"/>
  <c r="L62" i="22"/>
  <c r="J62" i="22"/>
  <c r="K66" i="22"/>
  <c r="L66" i="22"/>
  <c r="J66" i="22"/>
  <c r="I77" i="22"/>
  <c r="K69" i="22"/>
  <c r="J69" i="22"/>
  <c r="L69" i="22"/>
  <c r="K72" i="22"/>
  <c r="L72" i="22"/>
  <c r="J72" i="22"/>
  <c r="K75" i="22"/>
  <c r="L75" i="22"/>
  <c r="J75" i="22"/>
  <c r="K79" i="22"/>
  <c r="J79" i="22"/>
  <c r="L79" i="22"/>
  <c r="K82" i="22"/>
  <c r="L82" i="22"/>
  <c r="J82" i="22"/>
  <c r="K85" i="22"/>
  <c r="L85" i="22"/>
  <c r="J85" i="22"/>
  <c r="K88" i="22"/>
  <c r="J88" i="22"/>
  <c r="L88" i="22"/>
  <c r="K95" i="22"/>
  <c r="L95" i="22"/>
  <c r="J95" i="22"/>
  <c r="K98" i="22"/>
  <c r="J98" i="22"/>
  <c r="L98" i="22"/>
  <c r="K101" i="22"/>
  <c r="L101" i="22"/>
  <c r="J101" i="22"/>
  <c r="K104" i="22"/>
  <c r="L104" i="22"/>
  <c r="J104" i="22"/>
  <c r="K108" i="22"/>
  <c r="J108" i="22"/>
  <c r="L108" i="22"/>
  <c r="I119" i="22"/>
  <c r="K111" i="22"/>
  <c r="L111" i="22"/>
  <c r="J111" i="22"/>
  <c r="K114" i="22"/>
  <c r="L114" i="22"/>
  <c r="J114" i="22"/>
  <c r="K117" i="22"/>
  <c r="J117" i="22"/>
  <c r="L117" i="22"/>
  <c r="K121" i="22"/>
  <c r="L121" i="22"/>
  <c r="J121" i="22"/>
  <c r="K124" i="22"/>
  <c r="L124" i="22"/>
  <c r="J124" i="22"/>
  <c r="K127" i="22"/>
  <c r="J127" i="22"/>
  <c r="L127" i="22"/>
  <c r="K130" i="22"/>
  <c r="L130" i="22"/>
  <c r="J130" i="22"/>
  <c r="K137" i="22"/>
  <c r="J137" i="22"/>
  <c r="L137" i="22"/>
  <c r="K140" i="22"/>
  <c r="L140" i="22"/>
  <c r="J140" i="22"/>
  <c r="K143" i="22"/>
  <c r="L143" i="22"/>
  <c r="J143" i="22"/>
  <c r="K146" i="22"/>
  <c r="J146" i="22"/>
  <c r="L146" i="22"/>
  <c r="K150" i="22"/>
  <c r="L150" i="22"/>
  <c r="J150" i="22"/>
  <c r="I161" i="22"/>
  <c r="K153" i="22"/>
  <c r="L153" i="22"/>
  <c r="J153" i="22"/>
  <c r="K156" i="22"/>
  <c r="J156" i="22"/>
  <c r="L156" i="22"/>
  <c r="K159" i="22"/>
  <c r="L159" i="22"/>
  <c r="J159" i="22"/>
  <c r="J45" i="22"/>
  <c r="L45" i="22"/>
  <c r="K45" i="22"/>
  <c r="K48" i="22"/>
  <c r="J48" i="22"/>
  <c r="L48" i="22"/>
  <c r="L52" i="22"/>
  <c r="K52" i="22"/>
  <c r="J52" i="22"/>
  <c r="J55" i="22"/>
  <c r="I63" i="22"/>
  <c r="L55" i="22"/>
  <c r="K55" i="22"/>
  <c r="K58" i="22"/>
  <c r="J58" i="22"/>
  <c r="L58" i="22"/>
  <c r="L61" i="22"/>
  <c r="K61" i="22"/>
  <c r="J61" i="22"/>
  <c r="J65" i="22"/>
  <c r="L65" i="22"/>
  <c r="K65" i="22"/>
  <c r="K68" i="22"/>
  <c r="J68" i="22"/>
  <c r="L68" i="22"/>
  <c r="L71" i="22"/>
  <c r="K71" i="22"/>
  <c r="J71" i="22"/>
  <c r="J74" i="22"/>
  <c r="L74" i="22"/>
  <c r="K74" i="22"/>
  <c r="L81" i="22"/>
  <c r="K81" i="22"/>
  <c r="J81" i="22"/>
  <c r="J84" i="22"/>
  <c r="L84" i="22"/>
  <c r="K84" i="22"/>
  <c r="K87" i="22"/>
  <c r="J87" i="22"/>
  <c r="L87" i="22"/>
  <c r="L90" i="22"/>
  <c r="K90" i="22"/>
  <c r="J90" i="22"/>
  <c r="J94" i="22"/>
  <c r="L94" i="22"/>
  <c r="K94" i="22"/>
  <c r="K97" i="22"/>
  <c r="J97" i="22"/>
  <c r="L97" i="22"/>
  <c r="I105" i="22"/>
  <c r="L100" i="22"/>
  <c r="K100" i="22"/>
  <c r="J100" i="22"/>
  <c r="J103" i="22"/>
  <c r="L103" i="22"/>
  <c r="K103" i="22"/>
  <c r="K107" i="22"/>
  <c r="J107" i="22"/>
  <c r="L107" i="22"/>
  <c r="L110" i="22"/>
  <c r="K110" i="22"/>
  <c r="J110" i="22"/>
  <c r="J113" i="22"/>
  <c r="L113" i="22"/>
  <c r="K113" i="22"/>
  <c r="K116" i="22"/>
  <c r="J116" i="22"/>
  <c r="L116" i="22"/>
  <c r="J123" i="22"/>
  <c r="L123" i="22"/>
  <c r="K123" i="22"/>
  <c r="K126" i="22"/>
  <c r="J126" i="22"/>
  <c r="L126" i="22"/>
  <c r="L129" i="22"/>
  <c r="K129" i="22"/>
  <c r="J129" i="22"/>
  <c r="J132" i="22"/>
  <c r="L132" i="22"/>
  <c r="K132" i="22"/>
  <c r="K136" i="22"/>
  <c r="J136" i="22"/>
  <c r="L136" i="22"/>
  <c r="L139" i="22"/>
  <c r="K139" i="22"/>
  <c r="I147" i="22"/>
  <c r="J139" i="22"/>
  <c r="J142" i="22"/>
  <c r="L142" i="22"/>
  <c r="K142" i="22"/>
  <c r="K145" i="22"/>
  <c r="J145" i="22"/>
  <c r="L145" i="22"/>
  <c r="L149" i="22"/>
  <c r="K149" i="22"/>
  <c r="J149" i="22"/>
  <c r="J152" i="22"/>
  <c r="L152" i="22"/>
  <c r="K152" i="22"/>
  <c r="K155" i="22"/>
  <c r="J155" i="22"/>
  <c r="L155" i="22"/>
  <c r="L158" i="22"/>
  <c r="K158" i="22"/>
  <c r="J158" i="22"/>
  <c r="L38" i="22"/>
  <c r="J38" i="22"/>
  <c r="K38" i="22"/>
  <c r="L34" i="22"/>
  <c r="J34" i="22"/>
  <c r="K34" i="22"/>
  <c r="L31" i="22"/>
  <c r="J31" i="22"/>
  <c r="K31" i="22"/>
  <c r="L28" i="22"/>
  <c r="J28" i="22"/>
  <c r="K28" i="22"/>
  <c r="W17" i="22"/>
  <c r="V17" i="22"/>
  <c r="X17" i="22"/>
  <c r="X13" i="22"/>
  <c r="U21" i="22"/>
  <c r="W13" i="22"/>
  <c r="V13" i="22"/>
  <c r="X9" i="22"/>
  <c r="V9" i="22"/>
  <c r="W9" i="22"/>
  <c r="X15" i="22"/>
  <c r="V15" i="22"/>
  <c r="W15" i="22"/>
  <c r="W10" i="22"/>
  <c r="X10" i="22"/>
  <c r="V10" i="22"/>
  <c r="W16" i="22"/>
  <c r="X16" i="22"/>
  <c r="V16" i="22"/>
  <c r="X12" i="22"/>
  <c r="V12" i="22"/>
  <c r="W12" i="22"/>
  <c r="V18" i="22"/>
  <c r="X18" i="22"/>
  <c r="W18" i="22"/>
  <c r="X19" i="22"/>
  <c r="W19" i="22"/>
  <c r="V19" i="22"/>
  <c r="H150" i="21"/>
  <c r="I150" i="21"/>
  <c r="H137" i="21"/>
  <c r="I137" i="21"/>
  <c r="H111" i="21"/>
  <c r="I111" i="21"/>
  <c r="I101" i="21"/>
  <c r="H101" i="21"/>
  <c r="H91" i="21"/>
  <c r="I91" i="21"/>
  <c r="I82" i="21"/>
  <c r="H82" i="21"/>
  <c r="H72" i="21"/>
  <c r="I72" i="21"/>
  <c r="I60" i="21"/>
  <c r="H60" i="21"/>
  <c r="I54" i="21"/>
  <c r="H54" i="21"/>
  <c r="I47" i="21"/>
  <c r="H47" i="21"/>
  <c r="I41" i="21"/>
  <c r="H41" i="21"/>
  <c r="I34" i="21"/>
  <c r="H34" i="21"/>
  <c r="G36" i="21"/>
  <c r="I28" i="21"/>
  <c r="H28" i="21"/>
  <c r="I19" i="21"/>
  <c r="H19" i="21"/>
  <c r="I16" i="21"/>
  <c r="H16" i="21"/>
  <c r="I13" i="21"/>
  <c r="H13" i="21"/>
  <c r="I10" i="21"/>
  <c r="H10" i="21"/>
  <c r="I153" i="21"/>
  <c r="H153" i="21"/>
  <c r="G148" i="21"/>
  <c r="I140" i="21"/>
  <c r="H140" i="21"/>
  <c r="G134" i="21"/>
  <c r="H126" i="21"/>
  <c r="I126" i="21"/>
  <c r="H122" i="21"/>
  <c r="I122" i="21"/>
  <c r="H102" i="21"/>
  <c r="I102" i="21"/>
  <c r="H87" i="21"/>
  <c r="I87" i="21"/>
  <c r="H83" i="21"/>
  <c r="I83" i="21"/>
  <c r="H68" i="21"/>
  <c r="I68" i="21"/>
  <c r="H59" i="21"/>
  <c r="I59" i="21"/>
  <c r="H53" i="21"/>
  <c r="I53" i="21"/>
  <c r="H46" i="21"/>
  <c r="I46" i="21"/>
  <c r="H40" i="21"/>
  <c r="I40" i="21"/>
  <c r="H33" i="21"/>
  <c r="I33" i="21"/>
  <c r="H27" i="21"/>
  <c r="I27" i="21"/>
  <c r="H156" i="21"/>
  <c r="I156" i="21"/>
  <c r="H143" i="21"/>
  <c r="I143" i="21"/>
  <c r="H130" i="21"/>
  <c r="I130" i="21"/>
  <c r="I113" i="21"/>
  <c r="H113" i="21"/>
  <c r="H109" i="21"/>
  <c r="I109" i="21"/>
  <c r="I94" i="21"/>
  <c r="H94" i="21"/>
  <c r="H89" i="21"/>
  <c r="I89" i="21"/>
  <c r="I74" i="21"/>
  <c r="H74" i="21"/>
  <c r="H70" i="21"/>
  <c r="G78" i="21"/>
  <c r="I70" i="21"/>
  <c r="I63" i="21"/>
  <c r="H63" i="21"/>
  <c r="I57" i="21"/>
  <c r="H57" i="21"/>
  <c r="I44" i="21"/>
  <c r="H44" i="21"/>
  <c r="I38" i="21"/>
  <c r="H38" i="21"/>
  <c r="I31" i="21"/>
  <c r="H31" i="21"/>
  <c r="I25" i="21"/>
  <c r="H25" i="21"/>
  <c r="H128" i="21"/>
  <c r="I128" i="21"/>
  <c r="H141" i="21"/>
  <c r="I141" i="21"/>
  <c r="H147" i="21"/>
  <c r="I147" i="21"/>
  <c r="H154" i="21"/>
  <c r="G162" i="21"/>
  <c r="I154" i="21"/>
  <c r="H160" i="21"/>
  <c r="I160" i="21"/>
  <c r="I71" i="21"/>
  <c r="H71" i="21"/>
  <c r="I77" i="21"/>
  <c r="H77" i="21"/>
  <c r="G92" i="21"/>
  <c r="I84" i="21"/>
  <c r="H84" i="21"/>
  <c r="I90" i="21"/>
  <c r="H90" i="21"/>
  <c r="I97" i="21"/>
  <c r="H97" i="21"/>
  <c r="I103" i="21"/>
  <c r="H103" i="21"/>
  <c r="I110" i="21"/>
  <c r="H110" i="21"/>
  <c r="I116" i="21"/>
  <c r="H116" i="21"/>
  <c r="I123" i="21"/>
  <c r="H123" i="21"/>
  <c r="I129" i="21"/>
  <c r="H129" i="21"/>
  <c r="I136" i="21"/>
  <c r="H136" i="21"/>
  <c r="I142" i="21"/>
  <c r="H142" i="21"/>
  <c r="I155" i="21"/>
  <c r="H155" i="21"/>
  <c r="I161" i="21"/>
  <c r="H161" i="21"/>
  <c r="I67" i="21"/>
  <c r="H67" i="21"/>
  <c r="I73" i="21"/>
  <c r="H73" i="21"/>
  <c r="H80" i="21"/>
  <c r="I80" i="21"/>
  <c r="I86" i="21"/>
  <c r="H86" i="21"/>
  <c r="H99" i="21"/>
  <c r="I99" i="21"/>
  <c r="I105" i="21"/>
  <c r="H105" i="21"/>
  <c r="G120" i="21"/>
  <c r="I112" i="21"/>
  <c r="H112" i="21"/>
  <c r="H118" i="21"/>
  <c r="I118" i="21"/>
  <c r="I125" i="21"/>
  <c r="H125" i="21"/>
  <c r="I131" i="21"/>
  <c r="H131" i="21"/>
  <c r="I138" i="21"/>
  <c r="H138" i="21"/>
  <c r="I144" i="21"/>
  <c r="H144" i="21"/>
  <c r="I151" i="21"/>
  <c r="H151" i="21"/>
  <c r="I157" i="21"/>
  <c r="H157" i="21"/>
  <c r="I146" i="21"/>
  <c r="H146" i="21"/>
  <c r="I133" i="21"/>
  <c r="H133" i="21"/>
  <c r="H124" i="21"/>
  <c r="I124" i="21"/>
  <c r="I114" i="21"/>
  <c r="H114" i="21"/>
  <c r="H104" i="21"/>
  <c r="I104" i="21"/>
  <c r="I95" i="21"/>
  <c r="H95" i="21"/>
  <c r="H85" i="21"/>
  <c r="I85" i="21"/>
  <c r="I75" i="21"/>
  <c r="H75" i="21"/>
  <c r="H66" i="21"/>
  <c r="I66" i="21"/>
  <c r="H62" i="21"/>
  <c r="I62" i="21"/>
  <c r="G64" i="21"/>
  <c r="H56" i="21"/>
  <c r="I56" i="21"/>
  <c r="H49" i="21"/>
  <c r="I49" i="21"/>
  <c r="H43" i="21"/>
  <c r="I43" i="21"/>
  <c r="H30" i="21"/>
  <c r="I30" i="21"/>
  <c r="H24" i="21"/>
  <c r="I24" i="21"/>
  <c r="H20" i="21"/>
  <c r="I20" i="21"/>
  <c r="H17" i="21"/>
  <c r="I17" i="21"/>
  <c r="G22" i="21"/>
  <c r="H14" i="21"/>
  <c r="I14" i="21"/>
  <c r="H11" i="21"/>
  <c r="I11" i="21"/>
  <c r="R13" i="21"/>
  <c r="Q13" i="21"/>
  <c r="I156" i="19"/>
  <c r="H156" i="19"/>
  <c r="I153" i="19"/>
  <c r="H153" i="19"/>
  <c r="G161" i="19"/>
  <c r="I150" i="19"/>
  <c r="H150" i="19"/>
  <c r="G149" i="19"/>
  <c r="I146" i="19"/>
  <c r="H146" i="19"/>
  <c r="I143" i="19"/>
  <c r="H143" i="19"/>
  <c r="I140" i="19"/>
  <c r="H140" i="19"/>
  <c r="I137" i="19"/>
  <c r="H137" i="19"/>
  <c r="I130" i="19"/>
  <c r="H130" i="19"/>
  <c r="I127" i="19"/>
  <c r="H127" i="19"/>
  <c r="I124" i="19"/>
  <c r="H124" i="19"/>
  <c r="I117" i="19"/>
  <c r="H117" i="19"/>
  <c r="I114" i="19"/>
  <c r="H114" i="19"/>
  <c r="J114" i="19"/>
  <c r="I111" i="19"/>
  <c r="H111" i="19"/>
  <c r="G119" i="19"/>
  <c r="I108" i="19"/>
  <c r="H108" i="19"/>
  <c r="J108" i="19"/>
  <c r="G107" i="19"/>
  <c r="I104" i="19"/>
  <c r="H104" i="19"/>
  <c r="I101" i="19"/>
  <c r="H101" i="19"/>
  <c r="I98" i="19"/>
  <c r="H98" i="19"/>
  <c r="I95" i="19"/>
  <c r="H95" i="19"/>
  <c r="I88" i="19"/>
  <c r="H88" i="19"/>
  <c r="I85" i="19"/>
  <c r="H85" i="19"/>
  <c r="I82" i="19"/>
  <c r="H82" i="19"/>
  <c r="I75" i="19"/>
  <c r="H75" i="19"/>
  <c r="I72" i="19"/>
  <c r="H72" i="19"/>
  <c r="I69" i="19"/>
  <c r="H69" i="19"/>
  <c r="G77" i="19"/>
  <c r="I66" i="19"/>
  <c r="H66" i="19"/>
  <c r="G65" i="19"/>
  <c r="I62" i="19"/>
  <c r="H62" i="19"/>
  <c r="I59" i="19"/>
  <c r="H59" i="19"/>
  <c r="I56" i="19"/>
  <c r="H56" i="19"/>
  <c r="I53" i="19"/>
  <c r="H53" i="19"/>
  <c r="J53" i="19"/>
  <c r="H46" i="19"/>
  <c r="I46" i="19"/>
  <c r="F161" i="19"/>
  <c r="F149" i="19"/>
  <c r="F147" i="19"/>
  <c r="F135" i="19"/>
  <c r="F133" i="19"/>
  <c r="F121" i="19"/>
  <c r="F119" i="19"/>
  <c r="F107" i="19"/>
  <c r="F105" i="19"/>
  <c r="F93" i="19"/>
  <c r="F91" i="19"/>
  <c r="F79" i="19"/>
  <c r="F77" i="19"/>
  <c r="F65" i="19"/>
  <c r="F63" i="19"/>
  <c r="F51" i="19"/>
  <c r="F49" i="19"/>
  <c r="F37" i="19"/>
  <c r="F35" i="19"/>
  <c r="F23" i="19"/>
  <c r="F21" i="19"/>
  <c r="F9" i="19"/>
  <c r="E7" i="19"/>
  <c r="L87" i="24"/>
  <c r="L63" i="24"/>
  <c r="L62" i="24"/>
  <c r="L59" i="24"/>
  <c r="L56" i="24"/>
  <c r="L53" i="24"/>
  <c r="L65" i="24"/>
  <c r="L60" i="24"/>
  <c r="L57" i="24"/>
  <c r="L54" i="24"/>
  <c r="L55" i="24"/>
  <c r="L64" i="24"/>
  <c r="L58" i="24"/>
  <c r="L61" i="24"/>
  <c r="I227" i="24"/>
  <c r="I161" i="24"/>
  <c r="I95" i="24"/>
  <c r="I205" i="24"/>
  <c r="I139" i="24"/>
  <c r="I51" i="24"/>
  <c r="G7" i="24"/>
  <c r="J8" i="24" s="1"/>
  <c r="I253" i="24"/>
  <c r="I117" i="24"/>
  <c r="I29" i="24"/>
  <c r="I183" i="24"/>
  <c r="I73" i="24"/>
  <c r="L86" i="24"/>
  <c r="L84" i="24"/>
  <c r="L83" i="24"/>
  <c r="L82" i="24"/>
  <c r="L81" i="24"/>
  <c r="L80" i="24"/>
  <c r="L79" i="24"/>
  <c r="L78" i="24"/>
  <c r="L77" i="24"/>
  <c r="L76" i="24"/>
  <c r="L75" i="24"/>
  <c r="L85" i="24"/>
  <c r="R11" i="21"/>
  <c r="Q11" i="21"/>
  <c r="R14" i="21"/>
  <c r="P22" i="21"/>
  <c r="Q14" i="21"/>
  <c r="R17" i="21"/>
  <c r="Q17" i="21"/>
  <c r="R20" i="21"/>
  <c r="Q20" i="21"/>
  <c r="Q12" i="21"/>
  <c r="R12" i="21"/>
  <c r="Q15" i="21"/>
  <c r="R15" i="21"/>
  <c r="Q18" i="21"/>
  <c r="R18" i="21"/>
  <c r="Q21" i="21"/>
  <c r="R21" i="21"/>
  <c r="X46" i="19"/>
  <c r="Y46" i="19"/>
  <c r="P46" i="19"/>
  <c r="Q46" i="19"/>
  <c r="X45" i="19"/>
  <c r="Y45" i="19"/>
  <c r="X44" i="19"/>
  <c r="Y44" i="19"/>
  <c r="X43" i="19"/>
  <c r="Y43" i="19"/>
  <c r="X42" i="19"/>
  <c r="Y42" i="19"/>
  <c r="W49" i="19"/>
  <c r="X41" i="19"/>
  <c r="Y41" i="19"/>
  <c r="X40" i="19"/>
  <c r="Y40" i="19"/>
  <c r="X39" i="19"/>
  <c r="Y39" i="19"/>
  <c r="X38" i="19"/>
  <c r="W37" i="19"/>
  <c r="Y38" i="19"/>
  <c r="X34" i="19"/>
  <c r="Y34" i="19"/>
  <c r="X33" i="19"/>
  <c r="Y33" i="19"/>
  <c r="X32" i="19"/>
  <c r="Y32" i="19"/>
  <c r="X31" i="19"/>
  <c r="Y31" i="19"/>
  <c r="X30" i="19"/>
  <c r="Y30" i="19"/>
  <c r="X29" i="19"/>
  <c r="Y29" i="19"/>
  <c r="X28" i="19"/>
  <c r="Y28" i="19"/>
  <c r="X27" i="19"/>
  <c r="W35" i="19"/>
  <c r="Y27" i="19"/>
  <c r="X26" i="19"/>
  <c r="Y26" i="19"/>
  <c r="X25" i="19"/>
  <c r="Y25" i="19"/>
  <c r="X24" i="19"/>
  <c r="W23" i="19"/>
  <c r="Y24" i="19"/>
  <c r="X20" i="19"/>
  <c r="Y20" i="19"/>
  <c r="X19" i="19"/>
  <c r="Y19" i="19"/>
  <c r="X18" i="19"/>
  <c r="Y18" i="19"/>
  <c r="X17" i="19"/>
  <c r="Y17" i="19"/>
  <c r="X16" i="19"/>
  <c r="Y16" i="19"/>
  <c r="X15" i="19"/>
  <c r="Y15" i="19"/>
  <c r="X14" i="19"/>
  <c r="Y14" i="19"/>
  <c r="X13" i="19"/>
  <c r="W21" i="19"/>
  <c r="Y13" i="19"/>
  <c r="X12" i="19"/>
  <c r="Y12" i="19"/>
  <c r="X11" i="19"/>
  <c r="Y11" i="19"/>
  <c r="X10" i="19"/>
  <c r="W9" i="19"/>
  <c r="Y10" i="19"/>
  <c r="X47" i="19"/>
  <c r="Y47" i="19"/>
  <c r="X48" i="19"/>
  <c r="Y48" i="19"/>
  <c r="X52" i="19"/>
  <c r="W51" i="19"/>
  <c r="Y52" i="19"/>
  <c r="X53" i="19"/>
  <c r="Y53" i="19"/>
  <c r="X54" i="19"/>
  <c r="Y54" i="19"/>
  <c r="X55" i="19"/>
  <c r="W63" i="19"/>
  <c r="Y55" i="19"/>
  <c r="X56" i="19"/>
  <c r="Y56" i="19"/>
  <c r="X57" i="19"/>
  <c r="Y57" i="19"/>
  <c r="X58" i="19"/>
  <c r="Y58" i="19"/>
  <c r="X59" i="19"/>
  <c r="Y59" i="19"/>
  <c r="X60" i="19"/>
  <c r="Y60" i="19"/>
  <c r="X61" i="19"/>
  <c r="Y61" i="19"/>
  <c r="X62" i="19"/>
  <c r="Y62" i="19"/>
  <c r="X66" i="19"/>
  <c r="W65" i="19"/>
  <c r="Y66" i="19"/>
  <c r="X67" i="19"/>
  <c r="Y67" i="19"/>
  <c r="X68" i="19"/>
  <c r="Y68" i="19"/>
  <c r="X69" i="19"/>
  <c r="W77" i="19"/>
  <c r="Y69" i="19"/>
  <c r="X70" i="19"/>
  <c r="Y70" i="19"/>
  <c r="X71" i="19"/>
  <c r="Y71" i="19"/>
  <c r="X72" i="19"/>
  <c r="Y72" i="19"/>
  <c r="X73" i="19"/>
  <c r="Y73" i="19"/>
  <c r="X74" i="19"/>
  <c r="Y74" i="19"/>
  <c r="X75" i="19"/>
  <c r="Y75" i="19"/>
  <c r="X76" i="19"/>
  <c r="Y76" i="19"/>
  <c r="X80" i="19"/>
  <c r="W79" i="19"/>
  <c r="Y80" i="19"/>
  <c r="X81" i="19"/>
  <c r="Y81" i="19"/>
  <c r="X82" i="19"/>
  <c r="Y82" i="19"/>
  <c r="X83" i="19"/>
  <c r="W91" i="19"/>
  <c r="Y83" i="19"/>
  <c r="X84" i="19"/>
  <c r="Y84" i="19"/>
  <c r="X85" i="19"/>
  <c r="Y85" i="19"/>
  <c r="X86" i="19"/>
  <c r="Y86" i="19"/>
  <c r="X87" i="19"/>
  <c r="Y87" i="19"/>
  <c r="X88" i="19"/>
  <c r="Y88" i="19"/>
  <c r="X89" i="19"/>
  <c r="Y89" i="19"/>
  <c r="X90" i="19"/>
  <c r="Y90" i="19"/>
  <c r="X94" i="19"/>
  <c r="W93" i="19"/>
  <c r="Y94" i="19"/>
  <c r="X95" i="19"/>
  <c r="Y95" i="19"/>
  <c r="X96" i="19"/>
  <c r="Y96" i="19"/>
  <c r="X97" i="19"/>
  <c r="W105" i="19"/>
  <c r="Y97" i="19"/>
  <c r="X98" i="19"/>
  <c r="Y98" i="19"/>
  <c r="X99" i="19"/>
  <c r="Y99" i="19"/>
  <c r="X100" i="19"/>
  <c r="Y100" i="19"/>
  <c r="X101" i="19"/>
  <c r="Y101" i="19"/>
  <c r="X102" i="19"/>
  <c r="Y102" i="19"/>
  <c r="X103" i="19"/>
  <c r="Y103" i="19"/>
  <c r="X104" i="19"/>
  <c r="Y104" i="19"/>
  <c r="X108" i="19"/>
  <c r="W107" i="19"/>
  <c r="Y108" i="19"/>
  <c r="X109" i="19"/>
  <c r="Y109" i="19"/>
  <c r="X110" i="19"/>
  <c r="Y110" i="19"/>
  <c r="X111" i="19"/>
  <c r="W119" i="19"/>
  <c r="Y111" i="19"/>
  <c r="X112" i="19"/>
  <c r="Y112" i="19"/>
  <c r="X113" i="19"/>
  <c r="Y113" i="19"/>
  <c r="X114" i="19"/>
  <c r="Y114" i="19"/>
  <c r="X115" i="19"/>
  <c r="Y115" i="19"/>
  <c r="X116" i="19"/>
  <c r="Y116" i="19"/>
  <c r="X117" i="19"/>
  <c r="Y117" i="19"/>
  <c r="X118" i="19"/>
  <c r="Y118" i="19"/>
  <c r="X122" i="19"/>
  <c r="W121" i="19"/>
  <c r="Y122" i="19"/>
  <c r="X123" i="19"/>
  <c r="Y123" i="19"/>
  <c r="X124" i="19"/>
  <c r="Y124" i="19"/>
  <c r="X125" i="19"/>
  <c r="W133" i="19"/>
  <c r="Y125" i="19"/>
  <c r="X126" i="19"/>
  <c r="Y126" i="19"/>
  <c r="X127" i="19"/>
  <c r="Y127" i="19"/>
  <c r="X128" i="19"/>
  <c r="Y128" i="19"/>
  <c r="X129" i="19"/>
  <c r="Y129" i="19"/>
  <c r="X130" i="19"/>
  <c r="Y130" i="19"/>
  <c r="X131" i="19"/>
  <c r="Y131" i="19"/>
  <c r="X132" i="19"/>
  <c r="Y132" i="19"/>
  <c r="X136" i="19"/>
  <c r="W135" i="19"/>
  <c r="Y136" i="19"/>
  <c r="X137" i="19"/>
  <c r="Y137" i="19"/>
  <c r="X138" i="19"/>
  <c r="Y138" i="19"/>
  <c r="X139" i="19"/>
  <c r="W147" i="19"/>
  <c r="Y139" i="19"/>
  <c r="X140" i="19"/>
  <c r="Y140" i="19"/>
  <c r="X141" i="19"/>
  <c r="Y141" i="19"/>
  <c r="X142" i="19"/>
  <c r="Y142" i="19"/>
  <c r="X143" i="19"/>
  <c r="Y143" i="19"/>
  <c r="X144" i="19"/>
  <c r="Y144" i="19"/>
  <c r="X145" i="19"/>
  <c r="Y145" i="19"/>
  <c r="X146" i="19"/>
  <c r="Y146" i="19"/>
  <c r="X150" i="19"/>
  <c r="W149" i="19"/>
  <c r="Y150" i="19"/>
  <c r="X151" i="19"/>
  <c r="Y151" i="19"/>
  <c r="X152" i="19"/>
  <c r="Y152" i="19"/>
  <c r="X153" i="19"/>
  <c r="W161" i="19"/>
  <c r="Y153" i="19"/>
  <c r="X154" i="19"/>
  <c r="Y154" i="19"/>
  <c r="X155" i="19"/>
  <c r="Y155" i="19"/>
  <c r="X156" i="19"/>
  <c r="Y156" i="19"/>
  <c r="X157" i="19"/>
  <c r="Y157" i="19"/>
  <c r="X158" i="19"/>
  <c r="Y158" i="19"/>
  <c r="X159" i="19"/>
  <c r="Y159" i="19"/>
  <c r="X160" i="19"/>
  <c r="Y160" i="19"/>
  <c r="Q47" i="19"/>
  <c r="P47" i="19"/>
  <c r="R45" i="19"/>
  <c r="Q45" i="19"/>
  <c r="P45" i="19"/>
  <c r="Q44" i="19"/>
  <c r="P44" i="19"/>
  <c r="R43" i="19"/>
  <c r="Q43" i="19"/>
  <c r="P43" i="19"/>
  <c r="Q42" i="19"/>
  <c r="P42" i="19"/>
  <c r="O49" i="19"/>
  <c r="R41" i="19"/>
  <c r="Q41" i="19"/>
  <c r="P41" i="19"/>
  <c r="Q40" i="19"/>
  <c r="P40" i="19"/>
  <c r="R39" i="19"/>
  <c r="Q39" i="19"/>
  <c r="P39" i="19"/>
  <c r="Q38" i="19"/>
  <c r="O37" i="19"/>
  <c r="P38" i="19"/>
  <c r="Q34" i="19"/>
  <c r="P34" i="19"/>
  <c r="Q33" i="19"/>
  <c r="P33" i="19"/>
  <c r="Q32" i="19"/>
  <c r="P32" i="19"/>
  <c r="Q31" i="19"/>
  <c r="P31" i="19"/>
  <c r="Q30" i="19"/>
  <c r="P30" i="19"/>
  <c r="Q29" i="19"/>
  <c r="P29" i="19"/>
  <c r="Q28" i="19"/>
  <c r="P28" i="19"/>
  <c r="Q27" i="19"/>
  <c r="O35" i="19"/>
  <c r="P27" i="19"/>
  <c r="Q26" i="19"/>
  <c r="P26" i="19"/>
  <c r="R25" i="19"/>
  <c r="Q25" i="19"/>
  <c r="P25" i="19"/>
  <c r="Q24" i="19"/>
  <c r="O23" i="19"/>
  <c r="P24" i="19"/>
  <c r="R20" i="19"/>
  <c r="Q20" i="19"/>
  <c r="P20" i="19"/>
  <c r="Q19" i="19"/>
  <c r="P19" i="19"/>
  <c r="R18" i="19"/>
  <c r="Q18" i="19"/>
  <c r="P18" i="19"/>
  <c r="Q17" i="19"/>
  <c r="P17" i="19"/>
  <c r="R16" i="19"/>
  <c r="Q16" i="19"/>
  <c r="P16" i="19"/>
  <c r="Q15" i="19"/>
  <c r="P15" i="19"/>
  <c r="R14" i="19"/>
  <c r="Q14" i="19"/>
  <c r="P14" i="19"/>
  <c r="Q13" i="19"/>
  <c r="O21" i="19"/>
  <c r="P13" i="19"/>
  <c r="Q12" i="19"/>
  <c r="P12" i="19"/>
  <c r="Q11" i="19"/>
  <c r="P11" i="19"/>
  <c r="Q10" i="19"/>
  <c r="O9" i="19"/>
  <c r="R46" i="19" s="1"/>
  <c r="P10" i="19"/>
  <c r="R48" i="19"/>
  <c r="Q48" i="19"/>
  <c r="P48" i="19"/>
  <c r="R52" i="19"/>
  <c r="Q52" i="19"/>
  <c r="O51" i="19"/>
  <c r="P52" i="19"/>
  <c r="R53" i="19"/>
  <c r="Q53" i="19"/>
  <c r="P53" i="19"/>
  <c r="R54" i="19"/>
  <c r="Q54" i="19"/>
  <c r="P54" i="19"/>
  <c r="R55" i="19"/>
  <c r="Q55" i="19"/>
  <c r="O63" i="19"/>
  <c r="P55" i="19"/>
  <c r="R56" i="19"/>
  <c r="Q56" i="19"/>
  <c r="P56" i="19"/>
  <c r="R57" i="19"/>
  <c r="Q57" i="19"/>
  <c r="P57" i="19"/>
  <c r="R58" i="19"/>
  <c r="Q58" i="19"/>
  <c r="P58" i="19"/>
  <c r="R59" i="19"/>
  <c r="Q59" i="19"/>
  <c r="P59" i="19"/>
  <c r="R60" i="19"/>
  <c r="Q60" i="19"/>
  <c r="P60" i="19"/>
  <c r="R61" i="19"/>
  <c r="Q61" i="19"/>
  <c r="P61" i="19"/>
  <c r="R62" i="19"/>
  <c r="Q62" i="19"/>
  <c r="P62" i="19"/>
  <c r="R66" i="19"/>
  <c r="Q66" i="19"/>
  <c r="O65" i="19"/>
  <c r="P66" i="19"/>
  <c r="R67" i="19"/>
  <c r="Q67" i="19"/>
  <c r="P67" i="19"/>
  <c r="R68" i="19"/>
  <c r="Q68" i="19"/>
  <c r="P68" i="19"/>
  <c r="R69" i="19"/>
  <c r="Q69" i="19"/>
  <c r="O77" i="19"/>
  <c r="P69" i="19"/>
  <c r="R70" i="19"/>
  <c r="Q70" i="19"/>
  <c r="P70" i="19"/>
  <c r="R71" i="19"/>
  <c r="Q71" i="19"/>
  <c r="P71" i="19"/>
  <c r="R72" i="19"/>
  <c r="Q72" i="19"/>
  <c r="P72" i="19"/>
  <c r="R73" i="19"/>
  <c r="Q73" i="19"/>
  <c r="P73" i="19"/>
  <c r="R74" i="19"/>
  <c r="Q74" i="19"/>
  <c r="P74" i="19"/>
  <c r="R75" i="19"/>
  <c r="Q75" i="19"/>
  <c r="P75" i="19"/>
  <c r="R76" i="19"/>
  <c r="Q76" i="19"/>
  <c r="P76" i="19"/>
  <c r="R80" i="19"/>
  <c r="Q80" i="19"/>
  <c r="O79" i="19"/>
  <c r="P80" i="19"/>
  <c r="R81" i="19"/>
  <c r="Q81" i="19"/>
  <c r="P81" i="19"/>
  <c r="R82" i="19"/>
  <c r="Q82" i="19"/>
  <c r="P82" i="19"/>
  <c r="R83" i="19"/>
  <c r="Q83" i="19"/>
  <c r="O91" i="19"/>
  <c r="P83" i="19"/>
  <c r="R84" i="19"/>
  <c r="Q84" i="19"/>
  <c r="P84" i="19"/>
  <c r="R85" i="19"/>
  <c r="Q85" i="19"/>
  <c r="P85" i="19"/>
  <c r="R86" i="19"/>
  <c r="Q86" i="19"/>
  <c r="P86" i="19"/>
  <c r="R87" i="19"/>
  <c r="Q87" i="19"/>
  <c r="P87" i="19"/>
  <c r="R88" i="19"/>
  <c r="Q88" i="19"/>
  <c r="P88" i="19"/>
  <c r="R89" i="19"/>
  <c r="Q89" i="19"/>
  <c r="P89" i="19"/>
  <c r="R90" i="19"/>
  <c r="Q90" i="19"/>
  <c r="P90" i="19"/>
  <c r="R94" i="19"/>
  <c r="Q94" i="19"/>
  <c r="O93" i="19"/>
  <c r="P94" i="19"/>
  <c r="R95" i="19"/>
  <c r="Q95" i="19"/>
  <c r="P95" i="19"/>
  <c r="R96" i="19"/>
  <c r="Q96" i="19"/>
  <c r="P96" i="19"/>
  <c r="R97" i="19"/>
  <c r="Q97" i="19"/>
  <c r="O105" i="19"/>
  <c r="P97" i="19"/>
  <c r="R98" i="19"/>
  <c r="Q98" i="19"/>
  <c r="P98" i="19"/>
  <c r="R99" i="19"/>
  <c r="Q99" i="19"/>
  <c r="P99" i="19"/>
  <c r="R100" i="19"/>
  <c r="Q100" i="19"/>
  <c r="P100" i="19"/>
  <c r="R101" i="19"/>
  <c r="Q101" i="19"/>
  <c r="P101" i="19"/>
  <c r="R102" i="19"/>
  <c r="Q102" i="19"/>
  <c r="P102" i="19"/>
  <c r="R103" i="19"/>
  <c r="Q103" i="19"/>
  <c r="P103" i="19"/>
  <c r="R104" i="19"/>
  <c r="Q104" i="19"/>
  <c r="P104" i="19"/>
  <c r="R108" i="19"/>
  <c r="Q108" i="19"/>
  <c r="O107" i="19"/>
  <c r="P108" i="19"/>
  <c r="R109" i="19"/>
  <c r="Q109" i="19"/>
  <c r="P109" i="19"/>
  <c r="R110" i="19"/>
  <c r="Q110" i="19"/>
  <c r="P110" i="19"/>
  <c r="R111" i="19"/>
  <c r="Q111" i="19"/>
  <c r="O119" i="19"/>
  <c r="P111" i="19"/>
  <c r="R112" i="19"/>
  <c r="Q112" i="19"/>
  <c r="P112" i="19"/>
  <c r="R113" i="19"/>
  <c r="Q113" i="19"/>
  <c r="P113" i="19"/>
  <c r="R114" i="19"/>
  <c r="Q114" i="19"/>
  <c r="P114" i="19"/>
  <c r="R115" i="19"/>
  <c r="Q115" i="19"/>
  <c r="P115" i="19"/>
  <c r="R116" i="19"/>
  <c r="Q116" i="19"/>
  <c r="P116" i="19"/>
  <c r="R117" i="19"/>
  <c r="Q117" i="19"/>
  <c r="P117" i="19"/>
  <c r="R118" i="19"/>
  <c r="Q118" i="19"/>
  <c r="P118" i="19"/>
  <c r="R122" i="19"/>
  <c r="Q122" i="19"/>
  <c r="O121" i="19"/>
  <c r="P122" i="19"/>
  <c r="R123" i="19"/>
  <c r="Q123" i="19"/>
  <c r="P123" i="19"/>
  <c r="R124" i="19"/>
  <c r="Q124" i="19"/>
  <c r="P124" i="19"/>
  <c r="R125" i="19"/>
  <c r="Q125" i="19"/>
  <c r="O133" i="19"/>
  <c r="P125" i="19"/>
  <c r="R126" i="19"/>
  <c r="Q126" i="19"/>
  <c r="P126" i="19"/>
  <c r="R127" i="19"/>
  <c r="Q127" i="19"/>
  <c r="P127" i="19"/>
  <c r="R128" i="19"/>
  <c r="Q128" i="19"/>
  <c r="P128" i="19"/>
  <c r="R129" i="19"/>
  <c r="Q129" i="19"/>
  <c r="P129" i="19"/>
  <c r="R130" i="19"/>
  <c r="Q130" i="19"/>
  <c r="P130" i="19"/>
  <c r="R131" i="19"/>
  <c r="Q131" i="19"/>
  <c r="P131" i="19"/>
  <c r="R132" i="19"/>
  <c r="Q132" i="19"/>
  <c r="P132" i="19"/>
  <c r="R136" i="19"/>
  <c r="Q136" i="19"/>
  <c r="O135" i="19"/>
  <c r="P136" i="19"/>
  <c r="R137" i="19"/>
  <c r="Q137" i="19"/>
  <c r="P137" i="19"/>
  <c r="R138" i="19"/>
  <c r="Q138" i="19"/>
  <c r="P138" i="19"/>
  <c r="R139" i="19"/>
  <c r="Q139" i="19"/>
  <c r="O147" i="19"/>
  <c r="P139" i="19"/>
  <c r="R140" i="19"/>
  <c r="Q140" i="19"/>
  <c r="P140" i="19"/>
  <c r="R141" i="19"/>
  <c r="Q141" i="19"/>
  <c r="P141" i="19"/>
  <c r="R142" i="19"/>
  <c r="Q142" i="19"/>
  <c r="P142" i="19"/>
  <c r="R143" i="19"/>
  <c r="Q143" i="19"/>
  <c r="P143" i="19"/>
  <c r="R144" i="19"/>
  <c r="Q144" i="19"/>
  <c r="P144" i="19"/>
  <c r="R145" i="19"/>
  <c r="Q145" i="19"/>
  <c r="P145" i="19"/>
  <c r="R146" i="19"/>
  <c r="Q146" i="19"/>
  <c r="P146" i="19"/>
  <c r="R150" i="19"/>
  <c r="Q150" i="19"/>
  <c r="O149" i="19"/>
  <c r="P150" i="19"/>
  <c r="R151" i="19"/>
  <c r="Q151" i="19"/>
  <c r="P151" i="19"/>
  <c r="R152" i="19"/>
  <c r="Q152" i="19"/>
  <c r="P152" i="19"/>
  <c r="R153" i="19"/>
  <c r="Q153" i="19"/>
  <c r="O161" i="19"/>
  <c r="P153" i="19"/>
  <c r="R154" i="19"/>
  <c r="Q154" i="19"/>
  <c r="P154" i="19"/>
  <c r="R155" i="19"/>
  <c r="Q155" i="19"/>
  <c r="P155" i="19"/>
  <c r="R156" i="19"/>
  <c r="Q156" i="19"/>
  <c r="P156" i="19"/>
  <c r="R157" i="19"/>
  <c r="Q157" i="19"/>
  <c r="P157" i="19"/>
  <c r="R158" i="19"/>
  <c r="Q158" i="19"/>
  <c r="P158" i="19"/>
  <c r="R159" i="19"/>
  <c r="Q159" i="19"/>
  <c r="P159" i="19"/>
  <c r="R160" i="19"/>
  <c r="Q160" i="19"/>
  <c r="P160" i="19"/>
  <c r="I160" i="19"/>
  <c r="H160" i="19"/>
  <c r="I157" i="19"/>
  <c r="H157" i="19"/>
  <c r="I154" i="19"/>
  <c r="H154" i="19"/>
  <c r="I151" i="19"/>
  <c r="H151" i="19"/>
  <c r="I144" i="19"/>
  <c r="H144" i="19"/>
  <c r="I141" i="19"/>
  <c r="H141" i="19"/>
  <c r="I138" i="19"/>
  <c r="H138" i="19"/>
  <c r="I131" i="19"/>
  <c r="H131" i="19"/>
  <c r="I128" i="19"/>
  <c r="H128" i="19"/>
  <c r="I125" i="19"/>
  <c r="H125" i="19"/>
  <c r="G133" i="19"/>
  <c r="I122" i="19"/>
  <c r="H122" i="19"/>
  <c r="G121" i="19"/>
  <c r="I118" i="19"/>
  <c r="H118" i="19"/>
  <c r="I115" i="19"/>
  <c r="H115" i="19"/>
  <c r="I112" i="19"/>
  <c r="H112" i="19"/>
  <c r="I109" i="19"/>
  <c r="H109" i="19"/>
  <c r="I102" i="19"/>
  <c r="H102" i="19"/>
  <c r="I99" i="19"/>
  <c r="H99" i="19"/>
  <c r="I96" i="19"/>
  <c r="H96" i="19"/>
  <c r="I89" i="19"/>
  <c r="H89" i="19"/>
  <c r="I86" i="19"/>
  <c r="H86" i="19"/>
  <c r="I83" i="19"/>
  <c r="H83" i="19"/>
  <c r="G91" i="19"/>
  <c r="I80" i="19"/>
  <c r="H80" i="19"/>
  <c r="G79" i="19"/>
  <c r="I76" i="19"/>
  <c r="H76" i="19"/>
  <c r="I73" i="19"/>
  <c r="H73" i="19"/>
  <c r="I70" i="19"/>
  <c r="H70" i="19"/>
  <c r="I67" i="19"/>
  <c r="H67" i="19"/>
  <c r="I60" i="19"/>
  <c r="H60" i="19"/>
  <c r="J60" i="19"/>
  <c r="I57" i="19"/>
  <c r="H57" i="19"/>
  <c r="I54" i="19"/>
  <c r="H54" i="19"/>
  <c r="I45" i="19"/>
  <c r="H45" i="19"/>
  <c r="I44" i="19"/>
  <c r="H44" i="19"/>
  <c r="I43" i="19"/>
  <c r="H43" i="19"/>
  <c r="I42" i="19"/>
  <c r="H42" i="19"/>
  <c r="G49" i="19"/>
  <c r="I41" i="19"/>
  <c r="H41" i="19"/>
  <c r="I40" i="19"/>
  <c r="H40" i="19"/>
  <c r="I39" i="19"/>
  <c r="H39" i="19"/>
  <c r="I38" i="19"/>
  <c r="H38" i="19"/>
  <c r="G37" i="19"/>
  <c r="I34" i="19"/>
  <c r="H34" i="19"/>
  <c r="I33" i="19"/>
  <c r="H33" i="19"/>
  <c r="I32" i="19"/>
  <c r="H32" i="19"/>
  <c r="I31" i="19"/>
  <c r="H31" i="19"/>
  <c r="I30" i="19"/>
  <c r="H30" i="19"/>
  <c r="I29" i="19"/>
  <c r="H29" i="19"/>
  <c r="I28" i="19"/>
  <c r="H28" i="19"/>
  <c r="I27" i="19"/>
  <c r="H27" i="19"/>
  <c r="G35" i="19"/>
  <c r="I26" i="19"/>
  <c r="H26" i="19"/>
  <c r="I25" i="19"/>
  <c r="H25" i="19"/>
  <c r="I24" i="19"/>
  <c r="H24" i="19"/>
  <c r="G23" i="19"/>
  <c r="I20" i="19"/>
  <c r="H20" i="19"/>
  <c r="I19" i="19"/>
  <c r="H19" i="19"/>
  <c r="I18" i="19"/>
  <c r="H18" i="19"/>
  <c r="I17" i="19"/>
  <c r="H17" i="19"/>
  <c r="I16" i="19"/>
  <c r="H16" i="19"/>
  <c r="I15" i="19"/>
  <c r="H15" i="19"/>
  <c r="I14" i="19"/>
  <c r="H14" i="19"/>
  <c r="I13" i="19"/>
  <c r="H13" i="19"/>
  <c r="G21" i="19"/>
  <c r="I12" i="19"/>
  <c r="H12" i="19"/>
  <c r="I11" i="19"/>
  <c r="H11" i="19"/>
  <c r="I10" i="19"/>
  <c r="H10" i="19"/>
  <c r="G9" i="19"/>
  <c r="J130" i="19" s="1"/>
  <c r="J158" i="18"/>
  <c r="I158" i="18"/>
  <c r="Q141" i="18"/>
  <c r="Y136" i="18"/>
  <c r="X136" i="18"/>
  <c r="Q102" i="18"/>
  <c r="X97" i="18"/>
  <c r="J81" i="18"/>
  <c r="I81" i="18"/>
  <c r="J65" i="18"/>
  <c r="I65" i="18"/>
  <c r="H64" i="18"/>
  <c r="X61" i="18"/>
  <c r="R60" i="18"/>
  <c r="Q60" i="18"/>
  <c r="J58" i="18"/>
  <c r="I58" i="18"/>
  <c r="X55" i="18"/>
  <c r="R54" i="18"/>
  <c r="Q54" i="18"/>
  <c r="P62" i="18"/>
  <c r="J52" i="18"/>
  <c r="I52" i="18"/>
  <c r="R47" i="18"/>
  <c r="Q47" i="18"/>
  <c r="J45" i="18"/>
  <c r="I45" i="18"/>
  <c r="X42" i="18"/>
  <c r="R41" i="18"/>
  <c r="Q41" i="18"/>
  <c r="J39" i="18"/>
  <c r="I39" i="18"/>
  <c r="J32" i="18"/>
  <c r="I32" i="18"/>
  <c r="X29" i="18"/>
  <c r="Q28" i="18"/>
  <c r="J26" i="18"/>
  <c r="I26" i="18"/>
  <c r="H34" i="18"/>
  <c r="X23" i="18"/>
  <c r="W22" i="18"/>
  <c r="J19" i="18"/>
  <c r="I19" i="18"/>
  <c r="Y16" i="18"/>
  <c r="X16" i="18"/>
  <c r="Q15" i="18"/>
  <c r="J13" i="18"/>
  <c r="I13" i="18"/>
  <c r="R9" i="18"/>
  <c r="Q9" i="18"/>
  <c r="P8" i="18"/>
  <c r="R23" i="18" s="1"/>
  <c r="J71" i="18"/>
  <c r="I71" i="18"/>
  <c r="J84" i="18"/>
  <c r="I84" i="18"/>
  <c r="J97" i="18"/>
  <c r="I97" i="18"/>
  <c r="J103" i="18"/>
  <c r="I103" i="18"/>
  <c r="H118" i="18"/>
  <c r="J110" i="18"/>
  <c r="I110" i="18"/>
  <c r="J116" i="18"/>
  <c r="I116" i="18"/>
  <c r="J123" i="18"/>
  <c r="I123" i="18"/>
  <c r="J129" i="18"/>
  <c r="I129" i="18"/>
  <c r="J136" i="18"/>
  <c r="I136" i="18"/>
  <c r="J142" i="18"/>
  <c r="I142" i="18"/>
  <c r="J149" i="18"/>
  <c r="I149" i="18"/>
  <c r="H148" i="18"/>
  <c r="J155" i="18"/>
  <c r="I155" i="18"/>
  <c r="I83" i="18"/>
  <c r="J83" i="18"/>
  <c r="I89" i="18"/>
  <c r="J89" i="18"/>
  <c r="H104" i="18"/>
  <c r="I96" i="18"/>
  <c r="J96" i="18"/>
  <c r="I102" i="18"/>
  <c r="J102" i="18"/>
  <c r="I109" i="18"/>
  <c r="J109" i="18"/>
  <c r="I115" i="18"/>
  <c r="J115" i="18"/>
  <c r="I122" i="18"/>
  <c r="J122" i="18"/>
  <c r="I128" i="18"/>
  <c r="J128" i="18"/>
  <c r="I135" i="18"/>
  <c r="H134" i="18"/>
  <c r="J135" i="18"/>
  <c r="I141" i="18"/>
  <c r="J141" i="18"/>
  <c r="I154" i="18"/>
  <c r="J154" i="18"/>
  <c r="J69" i="18"/>
  <c r="I69" i="18"/>
  <c r="J75" i="18"/>
  <c r="I75" i="18"/>
  <c r="J82" i="18"/>
  <c r="H90" i="18"/>
  <c r="I82" i="18"/>
  <c r="J88" i="18"/>
  <c r="I88" i="18"/>
  <c r="J95" i="18"/>
  <c r="I95" i="18"/>
  <c r="J101" i="18"/>
  <c r="I101" i="18"/>
  <c r="J108" i="18"/>
  <c r="I108" i="18"/>
  <c r="J114" i="18"/>
  <c r="I114" i="18"/>
  <c r="J121" i="18"/>
  <c r="H120" i="18"/>
  <c r="I121" i="18"/>
  <c r="J127" i="18"/>
  <c r="I127" i="18"/>
  <c r="J140" i="18"/>
  <c r="I140" i="18"/>
  <c r="J153" i="18"/>
  <c r="I153" i="18"/>
  <c r="J159" i="18"/>
  <c r="I159" i="18"/>
  <c r="I67" i="18"/>
  <c r="J67" i="18"/>
  <c r="I73" i="18"/>
  <c r="J73" i="18"/>
  <c r="I80" i="18"/>
  <c r="J80" i="18"/>
  <c r="I86" i="18"/>
  <c r="J86" i="18"/>
  <c r="I93" i="18"/>
  <c r="H92" i="18"/>
  <c r="J93" i="18"/>
  <c r="I99" i="18"/>
  <c r="J99" i="18"/>
  <c r="I112" i="18"/>
  <c r="J112" i="18"/>
  <c r="I125" i="18"/>
  <c r="J125" i="18"/>
  <c r="I131" i="18"/>
  <c r="J131" i="18"/>
  <c r="I138" i="18"/>
  <c r="H146" i="18"/>
  <c r="J138" i="18"/>
  <c r="I144" i="18"/>
  <c r="J144" i="18"/>
  <c r="I151" i="18"/>
  <c r="J151" i="18"/>
  <c r="I157" i="18"/>
  <c r="J157" i="18"/>
  <c r="J72" i="18"/>
  <c r="I72" i="18"/>
  <c r="J79" i="18"/>
  <c r="I79" i="18"/>
  <c r="H78" i="18"/>
  <c r="J85" i="18"/>
  <c r="I85" i="18"/>
  <c r="J98" i="18"/>
  <c r="I98" i="18"/>
  <c r="J111" i="18"/>
  <c r="I111" i="18"/>
  <c r="J117" i="18"/>
  <c r="I117" i="18"/>
  <c r="J124" i="18"/>
  <c r="I124" i="18"/>
  <c r="H132" i="18"/>
  <c r="J130" i="18"/>
  <c r="I130" i="18"/>
  <c r="J137" i="18"/>
  <c r="I137" i="18"/>
  <c r="J143" i="18"/>
  <c r="I143" i="18"/>
  <c r="J150" i="18"/>
  <c r="I150" i="18"/>
  <c r="J156" i="18"/>
  <c r="I156" i="18"/>
  <c r="Z7" i="19"/>
  <c r="T7" i="19"/>
  <c r="X142" i="18"/>
  <c r="Q109" i="18"/>
  <c r="X103" i="18"/>
  <c r="J87" i="18"/>
  <c r="I87" i="18"/>
  <c r="Q70" i="18"/>
  <c r="J68" i="18"/>
  <c r="I68" i="18"/>
  <c r="H76" i="18"/>
  <c r="I66" i="18"/>
  <c r="J66" i="18"/>
  <c r="Q61" i="18"/>
  <c r="R61" i="18"/>
  <c r="I59" i="18"/>
  <c r="J59" i="18"/>
  <c r="X56" i="18"/>
  <c r="Q55" i="18"/>
  <c r="R55" i="18"/>
  <c r="I53" i="18"/>
  <c r="J53" i="18"/>
  <c r="I46" i="18"/>
  <c r="J46" i="18"/>
  <c r="X43" i="18"/>
  <c r="Y43" i="18"/>
  <c r="Q42" i="18"/>
  <c r="R42" i="18"/>
  <c r="I40" i="18"/>
  <c r="H48" i="18"/>
  <c r="J40" i="18"/>
  <c r="X37" i="18"/>
  <c r="W36" i="18"/>
  <c r="I33" i="18"/>
  <c r="J33" i="18"/>
  <c r="X30" i="18"/>
  <c r="Q29" i="18"/>
  <c r="R29" i="18"/>
  <c r="I27" i="18"/>
  <c r="J27" i="18"/>
  <c r="X24" i="18"/>
  <c r="Q23" i="18"/>
  <c r="P22" i="18"/>
  <c r="X17" i="18"/>
  <c r="Q16" i="18"/>
  <c r="R16" i="18"/>
  <c r="I14" i="18"/>
  <c r="J14" i="18"/>
  <c r="X11" i="18"/>
  <c r="Q10" i="18"/>
  <c r="R10" i="18"/>
  <c r="M147" i="19"/>
  <c r="M135" i="19"/>
  <c r="M105" i="19"/>
  <c r="M93" i="19"/>
  <c r="M63" i="19"/>
  <c r="M51" i="19"/>
  <c r="L7" i="19"/>
  <c r="M161" i="19"/>
  <c r="M149" i="19"/>
  <c r="M119" i="19"/>
  <c r="M107" i="19"/>
  <c r="M77" i="19"/>
  <c r="M65" i="19"/>
  <c r="M49" i="19"/>
  <c r="M37" i="19"/>
  <c r="M35" i="19"/>
  <c r="M23" i="19"/>
  <c r="M21" i="19"/>
  <c r="M9" i="19"/>
  <c r="M79" i="19"/>
  <c r="M121" i="19"/>
  <c r="M91" i="19"/>
  <c r="M133" i="19"/>
  <c r="X155" i="18"/>
  <c r="J139" i="18"/>
  <c r="I139" i="18"/>
  <c r="Q122" i="18"/>
  <c r="X116" i="18"/>
  <c r="J100" i="18"/>
  <c r="I100" i="18"/>
  <c r="Q83" i="18"/>
  <c r="X65" i="18"/>
  <c r="W64" i="18"/>
  <c r="J61" i="18"/>
  <c r="I61" i="18"/>
  <c r="Y58" i="18"/>
  <c r="X58" i="18"/>
  <c r="R57" i="18"/>
  <c r="Q57" i="18"/>
  <c r="J55" i="18"/>
  <c r="I55" i="18"/>
  <c r="Y52" i="18"/>
  <c r="X52" i="18"/>
  <c r="R51" i="18"/>
  <c r="P50" i="18"/>
  <c r="Q51" i="18"/>
  <c r="X45" i="18"/>
  <c r="R44" i="18"/>
  <c r="Q44" i="18"/>
  <c r="J42" i="18"/>
  <c r="I42" i="18"/>
  <c r="X39" i="18"/>
  <c r="R38" i="18"/>
  <c r="Q38" i="18"/>
  <c r="X32" i="18"/>
  <c r="Q31" i="18"/>
  <c r="J29" i="18"/>
  <c r="I29" i="18"/>
  <c r="W34" i="18"/>
  <c r="X26" i="18"/>
  <c r="R25" i="18"/>
  <c r="Q25" i="18"/>
  <c r="J23" i="18"/>
  <c r="H22" i="18"/>
  <c r="I23" i="18"/>
  <c r="X19" i="18"/>
  <c r="R18" i="18"/>
  <c r="Q18" i="18"/>
  <c r="J16" i="18"/>
  <c r="I16" i="18"/>
  <c r="X13" i="18"/>
  <c r="R12" i="18"/>
  <c r="P20" i="18"/>
  <c r="Q12" i="18"/>
  <c r="J10" i="18"/>
  <c r="I10" i="18"/>
  <c r="W76" i="18"/>
  <c r="Y68" i="18"/>
  <c r="X68" i="18"/>
  <c r="X74" i="18"/>
  <c r="X81" i="18"/>
  <c r="X87" i="18"/>
  <c r="X94" i="18"/>
  <c r="X100" i="18"/>
  <c r="X107" i="18"/>
  <c r="W106" i="18"/>
  <c r="X113" i="18"/>
  <c r="Y126" i="18"/>
  <c r="X126" i="18"/>
  <c r="X139" i="18"/>
  <c r="X145" i="18"/>
  <c r="W160" i="18"/>
  <c r="X152" i="18"/>
  <c r="X158" i="18"/>
  <c r="X73" i="18"/>
  <c r="X80" i="18"/>
  <c r="X86" i="18"/>
  <c r="X93" i="18"/>
  <c r="W92" i="18"/>
  <c r="X99" i="18"/>
  <c r="X112" i="18"/>
  <c r="X125" i="18"/>
  <c r="Y125" i="18"/>
  <c r="X131" i="18"/>
  <c r="W146" i="18"/>
  <c r="X138" i="18"/>
  <c r="X144" i="18"/>
  <c r="X151" i="18"/>
  <c r="X157" i="18"/>
  <c r="X66" i="18"/>
  <c r="X72" i="18"/>
  <c r="W78" i="18"/>
  <c r="X79" i="18"/>
  <c r="X85" i="18"/>
  <c r="X98" i="18"/>
  <c r="X111" i="18"/>
  <c r="X117" i="18"/>
  <c r="W132" i="18"/>
  <c r="X124" i="18"/>
  <c r="X130" i="18"/>
  <c r="X137" i="18"/>
  <c r="X143" i="18"/>
  <c r="X150" i="18"/>
  <c r="X156" i="18"/>
  <c r="X70" i="18"/>
  <c r="X83" i="18"/>
  <c r="X89" i="18"/>
  <c r="X96" i="18"/>
  <c r="W104" i="18"/>
  <c r="X102" i="18"/>
  <c r="X109" i="18"/>
  <c r="X115" i="18"/>
  <c r="X122" i="18"/>
  <c r="X128" i="18"/>
  <c r="X135" i="18"/>
  <c r="W134" i="18"/>
  <c r="X141" i="18"/>
  <c r="X154" i="18"/>
  <c r="X69" i="18"/>
  <c r="X75" i="18"/>
  <c r="X82" i="18"/>
  <c r="W90" i="18"/>
  <c r="X88" i="18"/>
  <c r="X95" i="18"/>
  <c r="X101" i="18"/>
  <c r="X108" i="18"/>
  <c r="X114" i="18"/>
  <c r="X121" i="18"/>
  <c r="W120" i="18"/>
  <c r="X127" i="18"/>
  <c r="X140" i="18"/>
  <c r="X153" i="18"/>
  <c r="X159" i="18"/>
  <c r="J145" i="18"/>
  <c r="I145" i="18"/>
  <c r="R128" i="18"/>
  <c r="Q128" i="18"/>
  <c r="J107" i="18"/>
  <c r="I107" i="18"/>
  <c r="H106" i="18"/>
  <c r="R89" i="18"/>
  <c r="Q89" i="18"/>
  <c r="X84" i="18"/>
  <c r="I70" i="18"/>
  <c r="J70" i="18"/>
  <c r="X67" i="18"/>
  <c r="Q65" i="18"/>
  <c r="P64" i="18"/>
  <c r="R65" i="18"/>
  <c r="X59" i="18"/>
  <c r="Q58" i="18"/>
  <c r="R58" i="18"/>
  <c r="I56" i="18"/>
  <c r="J56" i="18"/>
  <c r="X53" i="18"/>
  <c r="Q52" i="18"/>
  <c r="R52" i="18"/>
  <c r="X46" i="18"/>
  <c r="Q45" i="18"/>
  <c r="R45" i="18"/>
  <c r="I43" i="18"/>
  <c r="J43" i="18"/>
  <c r="W48" i="18"/>
  <c r="X40" i="18"/>
  <c r="Q39" i="18"/>
  <c r="R39" i="18"/>
  <c r="I37" i="18"/>
  <c r="H36" i="18"/>
  <c r="J37" i="18"/>
  <c r="X33" i="18"/>
  <c r="Q32" i="18"/>
  <c r="R32" i="18"/>
  <c r="I30" i="18"/>
  <c r="J30" i="18"/>
  <c r="X27" i="18"/>
  <c r="P34" i="18"/>
  <c r="Q26" i="18"/>
  <c r="R26" i="18"/>
  <c r="I24" i="18"/>
  <c r="J24" i="18"/>
  <c r="Q19" i="18"/>
  <c r="R19" i="18"/>
  <c r="I17" i="18"/>
  <c r="J17" i="18"/>
  <c r="Q13" i="18"/>
  <c r="R13" i="18"/>
  <c r="R67" i="18"/>
  <c r="Q67" i="18"/>
  <c r="R73" i="18"/>
  <c r="Q73" i="18"/>
  <c r="R80" i="18"/>
  <c r="Q80" i="18"/>
  <c r="R86" i="18"/>
  <c r="Q86" i="18"/>
  <c r="R93" i="18"/>
  <c r="Q93" i="18"/>
  <c r="P92" i="18"/>
  <c r="R99" i="18"/>
  <c r="Q99" i="18"/>
  <c r="R112" i="18"/>
  <c r="Q112" i="18"/>
  <c r="R125" i="18"/>
  <c r="Q125" i="18"/>
  <c r="R131" i="18"/>
  <c r="Q131" i="18"/>
  <c r="P146" i="18"/>
  <c r="R138" i="18"/>
  <c r="Q138" i="18"/>
  <c r="R144" i="18"/>
  <c r="Q144" i="18"/>
  <c r="R151" i="18"/>
  <c r="Q151" i="18"/>
  <c r="R157" i="18"/>
  <c r="Q157" i="18"/>
  <c r="Q72" i="18"/>
  <c r="R72" i="18"/>
  <c r="Q79" i="18"/>
  <c r="P78" i="18"/>
  <c r="R79" i="18"/>
  <c r="Q85" i="18"/>
  <c r="R85" i="18"/>
  <c r="Q98" i="18"/>
  <c r="R98" i="18"/>
  <c r="Q111" i="18"/>
  <c r="R111" i="18"/>
  <c r="Q117" i="18"/>
  <c r="R117" i="18"/>
  <c r="P132" i="18"/>
  <c r="Q124" i="18"/>
  <c r="R124" i="18"/>
  <c r="Q130" i="18"/>
  <c r="R130" i="18"/>
  <c r="Q137" i="18"/>
  <c r="R137" i="18"/>
  <c r="Q143" i="18"/>
  <c r="R143" i="18"/>
  <c r="Q150" i="18"/>
  <c r="R150" i="18"/>
  <c r="Q156" i="18"/>
  <c r="R156" i="18"/>
  <c r="R71" i="18"/>
  <c r="Q71" i="18"/>
  <c r="R84" i="18"/>
  <c r="Q84" i="18"/>
  <c r="R97" i="18"/>
  <c r="Q97" i="18"/>
  <c r="R103" i="18"/>
  <c r="Q103" i="18"/>
  <c r="R110" i="18"/>
  <c r="P118" i="18"/>
  <c r="Q110" i="18"/>
  <c r="R116" i="18"/>
  <c r="Q116" i="18"/>
  <c r="R123" i="18"/>
  <c r="Q123" i="18"/>
  <c r="R129" i="18"/>
  <c r="Q129" i="18"/>
  <c r="R136" i="18"/>
  <c r="Q136" i="18"/>
  <c r="R142" i="18"/>
  <c r="Q142" i="18"/>
  <c r="R149" i="18"/>
  <c r="P148" i="18"/>
  <c r="Q149" i="18"/>
  <c r="R155" i="18"/>
  <c r="Q155" i="18"/>
  <c r="Q69" i="18"/>
  <c r="R69" i="18"/>
  <c r="Q75" i="18"/>
  <c r="R75" i="18"/>
  <c r="Q82" i="18"/>
  <c r="P90" i="18"/>
  <c r="R82" i="18"/>
  <c r="Q88" i="18"/>
  <c r="R88" i="18"/>
  <c r="Q95" i="18"/>
  <c r="R95" i="18"/>
  <c r="Q101" i="18"/>
  <c r="R101" i="18"/>
  <c r="Q108" i="18"/>
  <c r="R108" i="18"/>
  <c r="Q114" i="18"/>
  <c r="R114" i="18"/>
  <c r="Q121" i="18"/>
  <c r="P120" i="18"/>
  <c r="R121" i="18"/>
  <c r="Q127" i="18"/>
  <c r="R127" i="18"/>
  <c r="Q140" i="18"/>
  <c r="R140" i="18"/>
  <c r="Q153" i="18"/>
  <c r="R153" i="18"/>
  <c r="Q159" i="18"/>
  <c r="R159" i="18"/>
  <c r="Q68" i="18"/>
  <c r="R68" i="18"/>
  <c r="P76" i="18"/>
  <c r="R74" i="18"/>
  <c r="Q74" i="18"/>
  <c r="R81" i="18"/>
  <c r="Q81" i="18"/>
  <c r="R87" i="18"/>
  <c r="Q87" i="18"/>
  <c r="R94" i="18"/>
  <c r="Q94" i="18"/>
  <c r="R100" i="18"/>
  <c r="Q100" i="18"/>
  <c r="R107" i="18"/>
  <c r="Q107" i="18"/>
  <c r="P106" i="18"/>
  <c r="R113" i="18"/>
  <c r="Q113" i="18"/>
  <c r="R126" i="18"/>
  <c r="Q126" i="18"/>
  <c r="R139" i="18"/>
  <c r="Q139" i="18"/>
  <c r="R145" i="18"/>
  <c r="Q145" i="18"/>
  <c r="R152" i="18"/>
  <c r="Q152" i="18"/>
  <c r="P160" i="18"/>
  <c r="R158" i="18"/>
  <c r="Q158" i="18"/>
  <c r="U20" i="17"/>
  <c r="V20" i="17"/>
  <c r="U19" i="17"/>
  <c r="V19" i="17"/>
  <c r="U18" i="17"/>
  <c r="V18" i="17"/>
  <c r="U17" i="17"/>
  <c r="V17" i="17"/>
  <c r="U16" i="17"/>
  <c r="V16" i="17"/>
  <c r="U15" i="17"/>
  <c r="V15" i="17"/>
  <c r="U14" i="17"/>
  <c r="V14" i="17"/>
  <c r="U13" i="17"/>
  <c r="T21" i="17"/>
  <c r="V13" i="17"/>
  <c r="W12" i="17"/>
  <c r="U12" i="17"/>
  <c r="V12" i="17"/>
  <c r="U11" i="17"/>
  <c r="V11" i="17"/>
  <c r="W10" i="17"/>
  <c r="U10" i="17"/>
  <c r="T9" i="17"/>
  <c r="W19" i="17" s="1"/>
  <c r="V10" i="17"/>
  <c r="J152" i="18"/>
  <c r="I152" i="18"/>
  <c r="H160" i="18"/>
  <c r="Y129" i="18"/>
  <c r="X129" i="18"/>
  <c r="J113" i="18"/>
  <c r="I113" i="18"/>
  <c r="R96" i="18"/>
  <c r="Q96" i="18"/>
  <c r="P104" i="18"/>
  <c r="J74" i="18"/>
  <c r="I74" i="18"/>
  <c r="R66" i="18"/>
  <c r="Q66" i="18"/>
  <c r="X60" i="18"/>
  <c r="R59" i="18"/>
  <c r="Q59" i="18"/>
  <c r="J57" i="18"/>
  <c r="I57" i="18"/>
  <c r="W62" i="18"/>
  <c r="Y54" i="18"/>
  <c r="X54" i="18"/>
  <c r="R53" i="18"/>
  <c r="Q53" i="18"/>
  <c r="J51" i="18"/>
  <c r="I51" i="18"/>
  <c r="H50" i="18"/>
  <c r="X47" i="18"/>
  <c r="R46" i="18"/>
  <c r="Q46" i="18"/>
  <c r="J44" i="18"/>
  <c r="I44" i="18"/>
  <c r="X41" i="18"/>
  <c r="P48" i="18"/>
  <c r="R40" i="18"/>
  <c r="Q40" i="18"/>
  <c r="J38" i="18"/>
  <c r="I38" i="18"/>
  <c r="R33" i="18"/>
  <c r="Q33" i="18"/>
  <c r="J31" i="18"/>
  <c r="I31" i="18"/>
  <c r="X28" i="18"/>
  <c r="R27" i="18"/>
  <c r="Q27" i="18"/>
  <c r="J25" i="18"/>
  <c r="I25" i="18"/>
  <c r="J18" i="18"/>
  <c r="I18" i="18"/>
  <c r="X15" i="18"/>
  <c r="R14" i="18"/>
  <c r="Q14" i="18"/>
  <c r="H20" i="18"/>
  <c r="J12" i="18"/>
  <c r="I12" i="18"/>
  <c r="X9" i="18"/>
  <c r="W8" i="18"/>
  <c r="Y103" i="18" s="1"/>
  <c r="W16" i="15"/>
  <c r="Y16" i="15"/>
  <c r="X16" i="15"/>
  <c r="W13" i="15"/>
  <c r="V21" i="15"/>
  <c r="Y13" i="15"/>
  <c r="X13" i="15"/>
  <c r="W10" i="15"/>
  <c r="Y10" i="15"/>
  <c r="X10" i="15"/>
  <c r="H23" i="17"/>
  <c r="I24" i="17"/>
  <c r="J24" i="17"/>
  <c r="I26" i="17"/>
  <c r="J26" i="17"/>
  <c r="I28" i="17"/>
  <c r="J28" i="17"/>
  <c r="I30" i="17"/>
  <c r="J30" i="17"/>
  <c r="I32" i="17"/>
  <c r="J32" i="17"/>
  <c r="I34" i="17"/>
  <c r="J34" i="17"/>
  <c r="I39" i="17"/>
  <c r="J39" i="17"/>
  <c r="I41" i="17"/>
  <c r="H49" i="17"/>
  <c r="J41" i="17"/>
  <c r="I43" i="17"/>
  <c r="J43" i="17"/>
  <c r="I45" i="17"/>
  <c r="J45" i="17"/>
  <c r="I47" i="17"/>
  <c r="J47" i="17"/>
  <c r="H51" i="17"/>
  <c r="I52" i="17"/>
  <c r="J52" i="17"/>
  <c r="I54" i="17"/>
  <c r="J54" i="17"/>
  <c r="I56" i="17"/>
  <c r="J56" i="17"/>
  <c r="I58" i="17"/>
  <c r="J58" i="17"/>
  <c r="I60" i="17"/>
  <c r="J60" i="17"/>
  <c r="I62" i="17"/>
  <c r="J62" i="17"/>
  <c r="I67" i="17"/>
  <c r="J67" i="17"/>
  <c r="I69" i="17"/>
  <c r="H77" i="17"/>
  <c r="J69" i="17"/>
  <c r="I71" i="17"/>
  <c r="J71" i="17"/>
  <c r="I73" i="17"/>
  <c r="J73" i="17"/>
  <c r="I75" i="17"/>
  <c r="J75" i="17"/>
  <c r="H79" i="17"/>
  <c r="I80" i="17"/>
  <c r="J80" i="17"/>
  <c r="I82" i="17"/>
  <c r="J82" i="17"/>
  <c r="I84" i="17"/>
  <c r="J84" i="17"/>
  <c r="I86" i="17"/>
  <c r="J86" i="17"/>
  <c r="I88" i="17"/>
  <c r="J88" i="17"/>
  <c r="I90" i="17"/>
  <c r="J90" i="17"/>
  <c r="I95" i="17"/>
  <c r="J95" i="17"/>
  <c r="I97" i="17"/>
  <c r="H105" i="17"/>
  <c r="J97" i="17"/>
  <c r="I99" i="17"/>
  <c r="J99" i="17"/>
  <c r="I101" i="17"/>
  <c r="J101" i="17"/>
  <c r="I103" i="17"/>
  <c r="J103" i="17"/>
  <c r="H107" i="17"/>
  <c r="I108" i="17"/>
  <c r="J108" i="17"/>
  <c r="I110" i="17"/>
  <c r="J110" i="17"/>
  <c r="I112" i="17"/>
  <c r="J112" i="17"/>
  <c r="I114" i="17"/>
  <c r="J114" i="17"/>
  <c r="I116" i="17"/>
  <c r="J116" i="17"/>
  <c r="I118" i="17"/>
  <c r="J118" i="17"/>
  <c r="I123" i="17"/>
  <c r="J123" i="17"/>
  <c r="I125" i="17"/>
  <c r="H133" i="17"/>
  <c r="J125" i="17"/>
  <c r="I127" i="17"/>
  <c r="J127" i="17"/>
  <c r="I129" i="17"/>
  <c r="J129" i="17"/>
  <c r="I131" i="17"/>
  <c r="J131" i="17"/>
  <c r="H135" i="17"/>
  <c r="I136" i="17"/>
  <c r="J136" i="17"/>
  <c r="I138" i="17"/>
  <c r="J138" i="17"/>
  <c r="I140" i="17"/>
  <c r="J140" i="17"/>
  <c r="I142" i="17"/>
  <c r="J142" i="17"/>
  <c r="I144" i="17"/>
  <c r="J144" i="17"/>
  <c r="I146" i="17"/>
  <c r="J146" i="17"/>
  <c r="I151" i="17"/>
  <c r="J151" i="17"/>
  <c r="I153" i="17"/>
  <c r="H161" i="17"/>
  <c r="J153" i="17"/>
  <c r="I155" i="17"/>
  <c r="J155" i="17"/>
  <c r="I157" i="17"/>
  <c r="J157" i="17"/>
  <c r="I159" i="17"/>
  <c r="J159" i="17"/>
  <c r="H9" i="17"/>
  <c r="K32" i="17" s="1"/>
  <c r="J10" i="17"/>
  <c r="I10" i="17"/>
  <c r="J11" i="17"/>
  <c r="I11" i="17"/>
  <c r="K12" i="17"/>
  <c r="J12" i="17"/>
  <c r="I12" i="17"/>
  <c r="H21" i="17"/>
  <c r="J13" i="17"/>
  <c r="I13" i="17"/>
  <c r="J14" i="17"/>
  <c r="I14" i="17"/>
  <c r="J15" i="17"/>
  <c r="I15" i="17"/>
  <c r="J16" i="17"/>
  <c r="I16" i="17"/>
  <c r="J17" i="17"/>
  <c r="I17" i="17"/>
  <c r="J18" i="17"/>
  <c r="I18" i="17"/>
  <c r="J19" i="17"/>
  <c r="I19" i="17"/>
  <c r="J20" i="17"/>
  <c r="I20" i="17"/>
  <c r="I25" i="17"/>
  <c r="J25" i="17"/>
  <c r="I27" i="17"/>
  <c r="H35" i="17"/>
  <c r="J27" i="17"/>
  <c r="I29" i="17"/>
  <c r="J29" i="17"/>
  <c r="I31" i="17"/>
  <c r="J31" i="17"/>
  <c r="I33" i="17"/>
  <c r="J33" i="17"/>
  <c r="I38" i="17"/>
  <c r="H37" i="17"/>
  <c r="J38" i="17"/>
  <c r="I40" i="17"/>
  <c r="J40" i="17"/>
  <c r="I42" i="17"/>
  <c r="J42" i="17"/>
  <c r="I44" i="17"/>
  <c r="J44" i="17"/>
  <c r="I46" i="17"/>
  <c r="J46" i="17"/>
  <c r="I48" i="17"/>
  <c r="J48" i="17"/>
  <c r="I53" i="17"/>
  <c r="J53" i="17"/>
  <c r="I55" i="17"/>
  <c r="H63" i="17"/>
  <c r="J55" i="17"/>
  <c r="I57" i="17"/>
  <c r="J57" i="17"/>
  <c r="I59" i="17"/>
  <c r="J59" i="17"/>
  <c r="I61" i="17"/>
  <c r="J61" i="17"/>
  <c r="I66" i="17"/>
  <c r="H65" i="17"/>
  <c r="J66" i="17"/>
  <c r="I68" i="17"/>
  <c r="J68" i="17"/>
  <c r="I70" i="17"/>
  <c r="J70" i="17"/>
  <c r="I72" i="17"/>
  <c r="J72" i="17"/>
  <c r="I74" i="17"/>
  <c r="J74" i="17"/>
  <c r="I76" i="17"/>
  <c r="J76" i="17"/>
  <c r="I81" i="17"/>
  <c r="J81" i="17"/>
  <c r="I83" i="17"/>
  <c r="H91" i="17"/>
  <c r="J83" i="17"/>
  <c r="I85" i="17"/>
  <c r="J85" i="17"/>
  <c r="I87" i="17"/>
  <c r="J87" i="17"/>
  <c r="I89" i="17"/>
  <c r="J89" i="17"/>
  <c r="I94" i="17"/>
  <c r="H93" i="17"/>
  <c r="J94" i="17"/>
  <c r="I96" i="17"/>
  <c r="J96" i="17"/>
  <c r="I98" i="17"/>
  <c r="J98" i="17"/>
  <c r="I100" i="17"/>
  <c r="K100" i="17"/>
  <c r="J100" i="17"/>
  <c r="I102" i="17"/>
  <c r="J102" i="17"/>
  <c r="I104" i="17"/>
  <c r="J104" i="17"/>
  <c r="I109" i="17"/>
  <c r="J109" i="17"/>
  <c r="I111" i="17"/>
  <c r="H119" i="17"/>
  <c r="K111" i="17"/>
  <c r="J111" i="17"/>
  <c r="I113" i="17"/>
  <c r="J113" i="17"/>
  <c r="I115" i="17"/>
  <c r="K115" i="17"/>
  <c r="J115" i="17"/>
  <c r="I117" i="17"/>
  <c r="J117" i="17"/>
  <c r="I122" i="17"/>
  <c r="K122" i="17"/>
  <c r="H121" i="17"/>
  <c r="J122" i="17"/>
  <c r="I124" i="17"/>
  <c r="J124" i="17"/>
  <c r="I126" i="17"/>
  <c r="J126" i="17"/>
  <c r="I128" i="17"/>
  <c r="J128" i="17"/>
  <c r="I130" i="17"/>
  <c r="J130" i="17"/>
  <c r="I132" i="17"/>
  <c r="J132" i="17"/>
  <c r="I137" i="17"/>
  <c r="J137" i="17"/>
  <c r="I139" i="17"/>
  <c r="H147" i="17"/>
  <c r="J139" i="17"/>
  <c r="I141" i="17"/>
  <c r="J141" i="17"/>
  <c r="I143" i="17"/>
  <c r="J143" i="17"/>
  <c r="I145" i="17"/>
  <c r="J145" i="17"/>
  <c r="I150" i="17"/>
  <c r="H149" i="17"/>
  <c r="J150" i="17"/>
  <c r="I152" i="17"/>
  <c r="J152" i="17"/>
  <c r="I154" i="17"/>
  <c r="K154" i="17"/>
  <c r="J154" i="17"/>
  <c r="I156" i="17"/>
  <c r="J156" i="17"/>
  <c r="I158" i="17"/>
  <c r="K158" i="17"/>
  <c r="J158" i="17"/>
  <c r="I160" i="17"/>
  <c r="J160" i="17"/>
  <c r="Y18" i="15"/>
  <c r="X18" i="15"/>
  <c r="W18" i="15"/>
  <c r="Y15" i="15"/>
  <c r="X15" i="15"/>
  <c r="W15" i="15"/>
  <c r="Y12" i="15"/>
  <c r="X12" i="15"/>
  <c r="W12" i="15"/>
  <c r="Y9" i="15"/>
  <c r="X9" i="15"/>
  <c r="W9" i="15"/>
  <c r="W20" i="16"/>
  <c r="U20" i="16"/>
  <c r="V20" i="16"/>
  <c r="U19" i="16"/>
  <c r="V19" i="16"/>
  <c r="W18" i="16"/>
  <c r="U18" i="16"/>
  <c r="V18" i="16"/>
  <c r="U17" i="16"/>
  <c r="V17" i="16"/>
  <c r="W16" i="16"/>
  <c r="U16" i="16"/>
  <c r="V16" i="16"/>
  <c r="U15" i="16"/>
  <c r="V15" i="16"/>
  <c r="W14" i="16"/>
  <c r="U14" i="16"/>
  <c r="V14" i="16"/>
  <c r="U13" i="16"/>
  <c r="T21" i="16"/>
  <c r="V13" i="16"/>
  <c r="W12" i="16"/>
  <c r="U12" i="16"/>
  <c r="V12" i="16"/>
  <c r="W11" i="16"/>
  <c r="U11" i="16"/>
  <c r="V11" i="16"/>
  <c r="W10" i="16"/>
  <c r="U10" i="16"/>
  <c r="T9" i="16"/>
  <c r="W19" i="16" s="1"/>
  <c r="V10" i="16"/>
  <c r="T12" i="12"/>
  <c r="S12" i="12"/>
  <c r="V12" i="12"/>
  <c r="T10" i="12"/>
  <c r="S10" i="12"/>
  <c r="V10" i="12"/>
  <c r="T7" i="12"/>
  <c r="S7" i="12"/>
  <c r="V7" i="12"/>
  <c r="J30" i="10"/>
  <c r="J42" i="10"/>
  <c r="G29" i="10"/>
  <c r="J43" i="10"/>
  <c r="J40" i="10"/>
  <c r="J39" i="10"/>
  <c r="J38" i="10"/>
  <c r="J37" i="10"/>
  <c r="J36" i="10"/>
  <c r="J35" i="10"/>
  <c r="J34" i="10"/>
  <c r="J33" i="10"/>
  <c r="J32" i="10"/>
  <c r="J31" i="10"/>
  <c r="J41" i="10"/>
  <c r="L20" i="10"/>
  <c r="L8" i="10"/>
  <c r="I7" i="10"/>
  <c r="L19" i="10"/>
  <c r="L18" i="10"/>
  <c r="L15" i="10"/>
  <c r="L12" i="10"/>
  <c r="L9" i="10"/>
  <c r="L17" i="10"/>
  <c r="L14" i="10"/>
  <c r="L11" i="10"/>
  <c r="L21" i="10"/>
  <c r="L16" i="10"/>
  <c r="L13" i="10"/>
  <c r="L10" i="10"/>
  <c r="S43" i="6"/>
  <c r="R43" i="6"/>
  <c r="Q43" i="6"/>
  <c r="S37" i="6"/>
  <c r="R37" i="6"/>
  <c r="Q37" i="6"/>
  <c r="S31" i="6"/>
  <c r="R31" i="6"/>
  <c r="Q31" i="6"/>
  <c r="S25" i="6"/>
  <c r="R25" i="6"/>
  <c r="Q25" i="6"/>
  <c r="S19" i="6"/>
  <c r="R19" i="6"/>
  <c r="Q19" i="6"/>
  <c r="S12" i="6"/>
  <c r="R12" i="6"/>
  <c r="Q12" i="6"/>
  <c r="H23" i="16"/>
  <c r="I24" i="16"/>
  <c r="J24" i="16"/>
  <c r="I26" i="16"/>
  <c r="J26" i="16"/>
  <c r="I28" i="16"/>
  <c r="J28" i="16"/>
  <c r="I30" i="16"/>
  <c r="J30" i="16"/>
  <c r="I32" i="16"/>
  <c r="J32" i="16"/>
  <c r="I34" i="16"/>
  <c r="J34" i="16"/>
  <c r="I39" i="16"/>
  <c r="J39" i="16"/>
  <c r="I41" i="16"/>
  <c r="H49" i="16"/>
  <c r="J41" i="16"/>
  <c r="I43" i="16"/>
  <c r="J43" i="16"/>
  <c r="I45" i="16"/>
  <c r="J45" i="16"/>
  <c r="I47" i="16"/>
  <c r="J47" i="16"/>
  <c r="H51" i="16"/>
  <c r="I52" i="16"/>
  <c r="J52" i="16"/>
  <c r="I54" i="16"/>
  <c r="J54" i="16"/>
  <c r="I56" i="16"/>
  <c r="J56" i="16"/>
  <c r="I58" i="16"/>
  <c r="J58" i="16"/>
  <c r="I60" i="16"/>
  <c r="J60" i="16"/>
  <c r="I62" i="16"/>
  <c r="J62" i="16"/>
  <c r="I67" i="16"/>
  <c r="J67" i="16"/>
  <c r="H77" i="16"/>
  <c r="I69" i="16"/>
  <c r="J69" i="16"/>
  <c r="I71" i="16"/>
  <c r="J71" i="16"/>
  <c r="I73" i="16"/>
  <c r="J73" i="16"/>
  <c r="I75" i="16"/>
  <c r="J75" i="16"/>
  <c r="I10" i="16"/>
  <c r="H9" i="16"/>
  <c r="K24" i="16" s="1"/>
  <c r="J10" i="16"/>
  <c r="I11" i="16"/>
  <c r="J11" i="16"/>
  <c r="I12" i="16"/>
  <c r="J12" i="16"/>
  <c r="I13" i="16"/>
  <c r="H21" i="16"/>
  <c r="J13" i="16"/>
  <c r="I14" i="16"/>
  <c r="J14" i="16"/>
  <c r="I15" i="16"/>
  <c r="J15" i="16"/>
  <c r="I16" i="16"/>
  <c r="J16" i="16"/>
  <c r="I17" i="16"/>
  <c r="J17" i="16"/>
  <c r="I18" i="16"/>
  <c r="J18" i="16"/>
  <c r="I19" i="16"/>
  <c r="J19" i="16"/>
  <c r="I20" i="16"/>
  <c r="J20" i="16"/>
  <c r="I25" i="16"/>
  <c r="J25" i="16"/>
  <c r="I27" i="16"/>
  <c r="H35" i="16"/>
  <c r="J27" i="16"/>
  <c r="I29" i="16"/>
  <c r="K29" i="16"/>
  <c r="J29" i="16"/>
  <c r="I31" i="16"/>
  <c r="J31" i="16"/>
  <c r="I33" i="16"/>
  <c r="K33" i="16"/>
  <c r="J33" i="16"/>
  <c r="I38" i="16"/>
  <c r="H37" i="16"/>
  <c r="J38" i="16"/>
  <c r="I40" i="16"/>
  <c r="J40" i="16"/>
  <c r="I42" i="16"/>
  <c r="J42" i="16"/>
  <c r="I44" i="16"/>
  <c r="J44" i="16"/>
  <c r="I46" i="16"/>
  <c r="J46" i="16"/>
  <c r="I48" i="16"/>
  <c r="J48" i="16"/>
  <c r="I53" i="16"/>
  <c r="J53" i="16"/>
  <c r="I55" i="16"/>
  <c r="H63" i="16"/>
  <c r="J55" i="16"/>
  <c r="I57" i="16"/>
  <c r="J57" i="16"/>
  <c r="I59" i="16"/>
  <c r="J59" i="16"/>
  <c r="I61" i="16"/>
  <c r="J61" i="16"/>
  <c r="I66" i="16"/>
  <c r="H65" i="16"/>
  <c r="J66" i="16"/>
  <c r="I68" i="16"/>
  <c r="K68" i="16"/>
  <c r="J68" i="16"/>
  <c r="I70" i="16"/>
  <c r="J70" i="16"/>
  <c r="I72" i="16"/>
  <c r="K72" i="16"/>
  <c r="J72" i="16"/>
  <c r="I74" i="16"/>
  <c r="J74" i="16"/>
  <c r="I76" i="16"/>
  <c r="K76" i="16"/>
  <c r="J76" i="16"/>
  <c r="I81" i="16"/>
  <c r="J81" i="16"/>
  <c r="I83" i="16"/>
  <c r="H91" i="16"/>
  <c r="J83" i="16"/>
  <c r="I85" i="16"/>
  <c r="J85" i="16"/>
  <c r="K87" i="16"/>
  <c r="I87" i="16"/>
  <c r="J87" i="16"/>
  <c r="I89" i="16"/>
  <c r="J89" i="16"/>
  <c r="K94" i="16"/>
  <c r="H93" i="16"/>
  <c r="I94" i="16"/>
  <c r="J94" i="16"/>
  <c r="I96" i="16"/>
  <c r="J96" i="16"/>
  <c r="I98" i="16"/>
  <c r="J98" i="16"/>
  <c r="I100" i="16"/>
  <c r="J100" i="16"/>
  <c r="I102" i="16"/>
  <c r="J102" i="16"/>
  <c r="I104" i="16"/>
  <c r="J104" i="16"/>
  <c r="I109" i="16"/>
  <c r="J109" i="16"/>
  <c r="I111" i="16"/>
  <c r="H119" i="16"/>
  <c r="J111" i="16"/>
  <c r="I113" i="16"/>
  <c r="J113" i="16"/>
  <c r="I115" i="16"/>
  <c r="J115" i="16"/>
  <c r="I117" i="16"/>
  <c r="J117" i="16"/>
  <c r="H121" i="16"/>
  <c r="I122" i="16"/>
  <c r="J122" i="16"/>
  <c r="I124" i="16"/>
  <c r="J124" i="16"/>
  <c r="K126" i="16"/>
  <c r="I126" i="16"/>
  <c r="J126" i="16"/>
  <c r="I128" i="16"/>
  <c r="J128" i="16"/>
  <c r="K130" i="16"/>
  <c r="I130" i="16"/>
  <c r="J130" i="16"/>
  <c r="I132" i="16"/>
  <c r="J132" i="16"/>
  <c r="K137" i="16"/>
  <c r="I137" i="16"/>
  <c r="J137" i="16"/>
  <c r="I139" i="16"/>
  <c r="H147" i="16"/>
  <c r="J139" i="16"/>
  <c r="I141" i="16"/>
  <c r="J141" i="16"/>
  <c r="I143" i="16"/>
  <c r="J143" i="16"/>
  <c r="I145" i="16"/>
  <c r="J145" i="16"/>
  <c r="H149" i="16"/>
  <c r="I150" i="16"/>
  <c r="J150" i="16"/>
  <c r="I152" i="16"/>
  <c r="J152" i="16"/>
  <c r="I154" i="16"/>
  <c r="J154" i="16"/>
  <c r="I156" i="16"/>
  <c r="J156" i="16"/>
  <c r="I158" i="16"/>
  <c r="J158" i="16"/>
  <c r="I160" i="16"/>
  <c r="J160" i="16"/>
  <c r="H79" i="16"/>
  <c r="J80" i="16"/>
  <c r="I80" i="16"/>
  <c r="J82" i="16"/>
  <c r="I82" i="16"/>
  <c r="K84" i="16"/>
  <c r="J84" i="16"/>
  <c r="I84" i="16"/>
  <c r="J86" i="16"/>
  <c r="I86" i="16"/>
  <c r="K88" i="16"/>
  <c r="J88" i="16"/>
  <c r="I88" i="16"/>
  <c r="J90" i="16"/>
  <c r="I90" i="16"/>
  <c r="K95" i="16"/>
  <c r="J95" i="16"/>
  <c r="I95" i="16"/>
  <c r="H105" i="16"/>
  <c r="J97" i="16"/>
  <c r="I97" i="16"/>
  <c r="J99" i="16"/>
  <c r="I99" i="16"/>
  <c r="J101" i="16"/>
  <c r="I101" i="16"/>
  <c r="J103" i="16"/>
  <c r="I103" i="16"/>
  <c r="H107" i="16"/>
  <c r="J108" i="16"/>
  <c r="I108" i="16"/>
  <c r="J110" i="16"/>
  <c r="I110" i="16"/>
  <c r="J112" i="16"/>
  <c r="I112" i="16"/>
  <c r="J114" i="16"/>
  <c r="I114" i="16"/>
  <c r="J116" i="16"/>
  <c r="I116" i="16"/>
  <c r="J118" i="16"/>
  <c r="I118" i="16"/>
  <c r="J123" i="16"/>
  <c r="I123" i="16"/>
  <c r="H133" i="16"/>
  <c r="J125" i="16"/>
  <c r="I125" i="16"/>
  <c r="K127" i="16"/>
  <c r="J127" i="16"/>
  <c r="I127" i="16"/>
  <c r="J129" i="16"/>
  <c r="I129" i="16"/>
  <c r="K131" i="16"/>
  <c r="J131" i="16"/>
  <c r="I131" i="16"/>
  <c r="H135" i="16"/>
  <c r="J136" i="16"/>
  <c r="I136" i="16"/>
  <c r="J138" i="16"/>
  <c r="I138" i="16"/>
  <c r="J140" i="16"/>
  <c r="I140" i="16"/>
  <c r="J142" i="16"/>
  <c r="I142" i="16"/>
  <c r="J144" i="16"/>
  <c r="I144" i="16"/>
  <c r="J146" i="16"/>
  <c r="I146" i="16"/>
  <c r="J151" i="16"/>
  <c r="I151" i="16"/>
  <c r="H161" i="16"/>
  <c r="J153" i="16"/>
  <c r="I153" i="16"/>
  <c r="J155" i="16"/>
  <c r="I155" i="16"/>
  <c r="J157" i="16"/>
  <c r="I157" i="16"/>
  <c r="J159" i="16"/>
  <c r="I159" i="16"/>
  <c r="S19" i="14"/>
  <c r="T19" i="14"/>
  <c r="S17" i="14"/>
  <c r="T17" i="14"/>
  <c r="S15" i="14"/>
  <c r="T15" i="14"/>
  <c r="R23" i="14"/>
  <c r="S13" i="14"/>
  <c r="T13" i="14"/>
  <c r="S11" i="14"/>
  <c r="T11" i="14"/>
  <c r="S55" i="12"/>
  <c r="V55" i="12"/>
  <c r="T55" i="12"/>
  <c r="S52" i="12"/>
  <c r="V52" i="12"/>
  <c r="T52" i="12"/>
  <c r="S49" i="12"/>
  <c r="V49" i="12"/>
  <c r="T49" i="12"/>
  <c r="S46" i="12"/>
  <c r="V46" i="12"/>
  <c r="T46" i="12"/>
  <c r="S43" i="12"/>
  <c r="V43" i="12"/>
  <c r="T43" i="12"/>
  <c r="S40" i="12"/>
  <c r="V40" i="12"/>
  <c r="T40" i="12"/>
  <c r="S37" i="12"/>
  <c r="V37" i="12"/>
  <c r="T37" i="12"/>
  <c r="S34" i="12"/>
  <c r="V34" i="12"/>
  <c r="T34" i="12"/>
  <c r="S31" i="12"/>
  <c r="V31" i="12"/>
  <c r="T31" i="12"/>
  <c r="S28" i="12"/>
  <c r="V28" i="12"/>
  <c r="T28" i="12"/>
  <c r="S25" i="12"/>
  <c r="V25" i="12"/>
  <c r="T25" i="12"/>
  <c r="S22" i="12"/>
  <c r="V22" i="12"/>
  <c r="T22" i="12"/>
  <c r="S19" i="12"/>
  <c r="V19" i="12"/>
  <c r="T19" i="12"/>
  <c r="S16" i="12"/>
  <c r="V16" i="12"/>
  <c r="T16" i="12"/>
  <c r="J284" i="8"/>
  <c r="J261" i="8"/>
  <c r="J241" i="8"/>
  <c r="J238" i="8"/>
  <c r="J237" i="8"/>
  <c r="J236" i="8"/>
  <c r="J235" i="8"/>
  <c r="J234" i="8"/>
  <c r="J233" i="8"/>
  <c r="J232" i="8"/>
  <c r="J231" i="8"/>
  <c r="J230" i="8"/>
  <c r="J229" i="8"/>
  <c r="J218" i="8"/>
  <c r="J195" i="8"/>
  <c r="J175" i="8"/>
  <c r="J172" i="8"/>
  <c r="J171" i="8"/>
  <c r="J170" i="8"/>
  <c r="J169" i="8"/>
  <c r="J168" i="8"/>
  <c r="J167" i="8"/>
  <c r="J166" i="8"/>
  <c r="J165" i="8"/>
  <c r="J164" i="8"/>
  <c r="J163" i="8"/>
  <c r="J152" i="8"/>
  <c r="J129" i="8"/>
  <c r="J109" i="8"/>
  <c r="J106" i="8"/>
  <c r="J105" i="8"/>
  <c r="J104" i="8"/>
  <c r="J103" i="8"/>
  <c r="J102" i="8"/>
  <c r="J101" i="8"/>
  <c r="J100" i="8"/>
  <c r="J99" i="8"/>
  <c r="J98" i="8"/>
  <c r="J97" i="8"/>
  <c r="I29" i="8"/>
  <c r="J30" i="8" s="1"/>
  <c r="I249" i="8"/>
  <c r="J250" i="8" s="1"/>
  <c r="I183" i="8"/>
  <c r="J184" i="8" s="1"/>
  <c r="I117" i="8"/>
  <c r="J118" i="8" s="1"/>
  <c r="J8" i="8"/>
  <c r="I227" i="8"/>
  <c r="J228" i="8" s="1"/>
  <c r="I161" i="8"/>
  <c r="J162" i="8" s="1"/>
  <c r="I95" i="8"/>
  <c r="J96" i="8" s="1"/>
  <c r="J283" i="8"/>
  <c r="J263" i="8"/>
  <c r="J260" i="8"/>
  <c r="J259" i="8"/>
  <c r="J258" i="8"/>
  <c r="J257" i="8"/>
  <c r="J256" i="8"/>
  <c r="J255" i="8"/>
  <c r="J254" i="8"/>
  <c r="J253" i="8"/>
  <c r="J252" i="8"/>
  <c r="J251" i="8"/>
  <c r="J240" i="8"/>
  <c r="J217" i="8"/>
  <c r="J197" i="8"/>
  <c r="J194" i="8"/>
  <c r="J193" i="8"/>
  <c r="J192" i="8"/>
  <c r="J191" i="8"/>
  <c r="J190" i="8"/>
  <c r="J189" i="8"/>
  <c r="J188" i="8"/>
  <c r="J187" i="8"/>
  <c r="J186" i="8"/>
  <c r="J185" i="8"/>
  <c r="J174" i="8"/>
  <c r="J151" i="8"/>
  <c r="J131" i="8"/>
  <c r="J128" i="8"/>
  <c r="J127" i="8"/>
  <c r="J126" i="8"/>
  <c r="J125" i="8"/>
  <c r="J124" i="8"/>
  <c r="J123" i="8"/>
  <c r="J122" i="8"/>
  <c r="J121" i="8"/>
  <c r="J120" i="8"/>
  <c r="J119" i="8"/>
  <c r="J108" i="8"/>
  <c r="I73" i="8"/>
  <c r="I271" i="8"/>
  <c r="J272" i="8" s="1"/>
  <c r="I205" i="8"/>
  <c r="J206" i="8" s="1"/>
  <c r="I139" i="8"/>
  <c r="J140" i="8" s="1"/>
  <c r="I51" i="8"/>
  <c r="J239" i="8"/>
  <c r="J216" i="8"/>
  <c r="J213" i="8"/>
  <c r="J210" i="8"/>
  <c r="J207" i="8"/>
  <c r="J107" i="8"/>
  <c r="J280" i="8"/>
  <c r="J277" i="8"/>
  <c r="J274" i="8"/>
  <c r="J219" i="8"/>
  <c r="J148" i="8"/>
  <c r="J145" i="8"/>
  <c r="J142" i="8"/>
  <c r="J215" i="8"/>
  <c r="J196" i="8"/>
  <c r="J282" i="8"/>
  <c r="J279" i="8"/>
  <c r="J276" i="8"/>
  <c r="J273" i="8"/>
  <c r="J173" i="8"/>
  <c r="J150" i="8"/>
  <c r="J147" i="8"/>
  <c r="J144" i="8"/>
  <c r="J141" i="8"/>
  <c r="J285" i="8"/>
  <c r="J214" i="8"/>
  <c r="J211" i="8"/>
  <c r="J208" i="8"/>
  <c r="J153" i="8"/>
  <c r="G7" i="8"/>
  <c r="J212" i="8"/>
  <c r="J281" i="8"/>
  <c r="J278" i="8"/>
  <c r="J275" i="8"/>
  <c r="J262" i="8"/>
  <c r="J149" i="8"/>
  <c r="J146" i="8"/>
  <c r="J143" i="8"/>
  <c r="J130" i="8"/>
  <c r="J209" i="8"/>
  <c r="Q50" i="6"/>
  <c r="S50" i="6"/>
  <c r="R50" i="6"/>
  <c r="Q44" i="6"/>
  <c r="S44" i="6"/>
  <c r="R44" i="6"/>
  <c r="Q38" i="6"/>
  <c r="S38" i="6"/>
  <c r="R38" i="6"/>
  <c r="Q32" i="6"/>
  <c r="S32" i="6"/>
  <c r="R32" i="6"/>
  <c r="Q26" i="6"/>
  <c r="S26" i="6"/>
  <c r="R26" i="6"/>
  <c r="Q20" i="6"/>
  <c r="S20" i="6"/>
  <c r="R20" i="6"/>
  <c r="Q13" i="6"/>
  <c r="S13" i="6"/>
  <c r="R13" i="6"/>
  <c r="Q7" i="6"/>
  <c r="S7" i="6"/>
  <c r="R7" i="6"/>
  <c r="T57" i="12"/>
  <c r="V57" i="12"/>
  <c r="S57" i="12"/>
  <c r="T54" i="12"/>
  <c r="V54" i="12"/>
  <c r="S54" i="12"/>
  <c r="T51" i="12"/>
  <c r="V51" i="12"/>
  <c r="S51" i="12"/>
  <c r="T48" i="12"/>
  <c r="V48" i="12"/>
  <c r="S48" i="12"/>
  <c r="T45" i="12"/>
  <c r="V45" i="12"/>
  <c r="S45" i="12"/>
  <c r="T42" i="12"/>
  <c r="V42" i="12"/>
  <c r="S42" i="12"/>
  <c r="T39" i="12"/>
  <c r="V39" i="12"/>
  <c r="S39" i="12"/>
  <c r="T36" i="12"/>
  <c r="V36" i="12"/>
  <c r="S36" i="12"/>
  <c r="T33" i="12"/>
  <c r="V33" i="12"/>
  <c r="S33" i="12"/>
  <c r="T30" i="12"/>
  <c r="V30" i="12"/>
  <c r="S30" i="12"/>
  <c r="T27" i="12"/>
  <c r="V27" i="12"/>
  <c r="S27" i="12"/>
  <c r="T24" i="12"/>
  <c r="V24" i="12"/>
  <c r="S24" i="12"/>
  <c r="T21" i="12"/>
  <c r="V21" i="12"/>
  <c r="S21" i="12"/>
  <c r="T18" i="12"/>
  <c r="V18" i="12"/>
  <c r="S18" i="12"/>
  <c r="T15" i="12"/>
  <c r="V15" i="12"/>
  <c r="S15" i="12"/>
  <c r="T13" i="12"/>
  <c r="V13" i="12"/>
  <c r="S13" i="12"/>
  <c r="T11" i="12"/>
  <c r="V11" i="12"/>
  <c r="S11" i="12"/>
  <c r="L85" i="8"/>
  <c r="L86" i="8"/>
  <c r="L74" i="8"/>
  <c r="L84" i="8"/>
  <c r="L83" i="8"/>
  <c r="L82" i="8"/>
  <c r="L81" i="8"/>
  <c r="L80" i="8"/>
  <c r="L79" i="8"/>
  <c r="L78" i="8"/>
  <c r="L77" i="8"/>
  <c r="L76" i="8"/>
  <c r="L75" i="8"/>
  <c r="N52" i="8"/>
  <c r="N61" i="8"/>
  <c r="N60" i="8"/>
  <c r="N59" i="8"/>
  <c r="N58" i="8"/>
  <c r="N57" i="8"/>
  <c r="N56" i="8"/>
  <c r="N55" i="8"/>
  <c r="N54" i="8"/>
  <c r="N53" i="8"/>
  <c r="S52" i="6"/>
  <c r="R52" i="6"/>
  <c r="Q52" i="6"/>
  <c r="S46" i="6"/>
  <c r="R46" i="6"/>
  <c r="Q46" i="6"/>
  <c r="S40" i="6"/>
  <c r="R40" i="6"/>
  <c r="Q40" i="6"/>
  <c r="S34" i="6"/>
  <c r="R34" i="6"/>
  <c r="Q34" i="6"/>
  <c r="S28" i="6"/>
  <c r="R28" i="6"/>
  <c r="Q28" i="6"/>
  <c r="S22" i="6"/>
  <c r="R22" i="6"/>
  <c r="Q22" i="6"/>
  <c r="S15" i="6"/>
  <c r="R15" i="6"/>
  <c r="Q15" i="6"/>
  <c r="S9" i="6"/>
  <c r="R9" i="6"/>
  <c r="Q9" i="6"/>
  <c r="S21" i="14"/>
  <c r="T21" i="14"/>
  <c r="S20" i="14"/>
  <c r="T20" i="14"/>
  <c r="S18" i="14"/>
  <c r="T18" i="14"/>
  <c r="S16" i="14"/>
  <c r="T16" i="14"/>
  <c r="S14" i="14"/>
  <c r="T14" i="14"/>
  <c r="S12" i="14"/>
  <c r="T12" i="14"/>
  <c r="V8" i="12"/>
  <c r="S8" i="12"/>
  <c r="T8" i="12"/>
  <c r="L65" i="8"/>
  <c r="L62" i="8"/>
  <c r="L61" i="8"/>
  <c r="L60" i="8"/>
  <c r="L59" i="8"/>
  <c r="L58" i="8"/>
  <c r="L57" i="8"/>
  <c r="L56" i="8"/>
  <c r="L55" i="8"/>
  <c r="L54" i="8"/>
  <c r="L53" i="8"/>
  <c r="L64" i="8"/>
  <c r="L52" i="8"/>
  <c r="L87" i="8"/>
  <c r="L63" i="8"/>
  <c r="S47" i="6"/>
  <c r="Q47" i="6"/>
  <c r="R47" i="6"/>
  <c r="S41" i="6"/>
  <c r="Q41" i="6"/>
  <c r="R41" i="6"/>
  <c r="S35" i="6"/>
  <c r="Q35" i="6"/>
  <c r="R35" i="6"/>
  <c r="S29" i="6"/>
  <c r="Q29" i="6"/>
  <c r="R29" i="6"/>
  <c r="S23" i="6"/>
  <c r="Q23" i="6"/>
  <c r="R23" i="6"/>
  <c r="S17" i="6"/>
  <c r="Q17" i="6"/>
  <c r="R17" i="6"/>
  <c r="S16" i="6"/>
  <c r="Q16" i="6"/>
  <c r="R16" i="6"/>
  <c r="S10" i="6"/>
  <c r="Q10" i="6"/>
  <c r="R10" i="6"/>
  <c r="X20" i="15"/>
  <c r="W20" i="15"/>
  <c r="Y20" i="15"/>
  <c r="J158" i="13"/>
  <c r="I158" i="13"/>
  <c r="K158" i="13"/>
  <c r="J156" i="13"/>
  <c r="I156" i="13"/>
  <c r="K156" i="13"/>
  <c r="J154" i="13"/>
  <c r="I154" i="13"/>
  <c r="K154" i="13"/>
  <c r="J152" i="13"/>
  <c r="I152" i="13"/>
  <c r="H160" i="13"/>
  <c r="K152" i="13"/>
  <c r="J150" i="13"/>
  <c r="I150" i="13"/>
  <c r="K150" i="13"/>
  <c r="J148" i="13"/>
  <c r="I148" i="13"/>
  <c r="K148" i="13"/>
  <c r="J145" i="13"/>
  <c r="I145" i="13"/>
  <c r="K145" i="13"/>
  <c r="J143" i="13"/>
  <c r="I143" i="13"/>
  <c r="K143" i="13"/>
  <c r="J141" i="13"/>
  <c r="I141" i="13"/>
  <c r="K141" i="13"/>
  <c r="J139" i="13"/>
  <c r="I139" i="13"/>
  <c r="K139" i="13"/>
  <c r="J137" i="13"/>
  <c r="I137" i="13"/>
  <c r="K137" i="13"/>
  <c r="J135" i="13"/>
  <c r="I135" i="13"/>
  <c r="K135" i="13"/>
  <c r="J130" i="13"/>
  <c r="I130" i="13"/>
  <c r="K130" i="13"/>
  <c r="J128" i="13"/>
  <c r="I128" i="13"/>
  <c r="K128" i="13"/>
  <c r="J126" i="13"/>
  <c r="I126" i="13"/>
  <c r="K126" i="13"/>
  <c r="J124" i="13"/>
  <c r="I124" i="13"/>
  <c r="H132" i="13"/>
  <c r="K124" i="13"/>
  <c r="J122" i="13"/>
  <c r="I122" i="13"/>
  <c r="K122" i="13"/>
  <c r="J120" i="13"/>
  <c r="I120" i="13"/>
  <c r="K120" i="13"/>
  <c r="J117" i="13"/>
  <c r="I117" i="13"/>
  <c r="K117" i="13"/>
  <c r="J115" i="13"/>
  <c r="I115" i="13"/>
  <c r="K115" i="13"/>
  <c r="J113" i="13"/>
  <c r="I113" i="13"/>
  <c r="K113" i="13"/>
  <c r="J111" i="13"/>
  <c r="I111" i="13"/>
  <c r="K111" i="13"/>
  <c r="J109" i="13"/>
  <c r="I109" i="13"/>
  <c r="K109" i="13"/>
  <c r="J107" i="13"/>
  <c r="I107" i="13"/>
  <c r="K107" i="13"/>
  <c r="J102" i="13"/>
  <c r="I102" i="13"/>
  <c r="K102" i="13"/>
  <c r="J100" i="13"/>
  <c r="I100" i="13"/>
  <c r="K100" i="13"/>
  <c r="J98" i="13"/>
  <c r="I98" i="13"/>
  <c r="K98" i="13"/>
  <c r="J96" i="13"/>
  <c r="I96" i="13"/>
  <c r="H104" i="13"/>
  <c r="K96" i="13"/>
  <c r="J94" i="13"/>
  <c r="I94" i="13"/>
  <c r="K94" i="13"/>
  <c r="J92" i="13"/>
  <c r="I92" i="13"/>
  <c r="K92" i="13"/>
  <c r="J89" i="13"/>
  <c r="I89" i="13"/>
  <c r="K89" i="13"/>
  <c r="J87" i="13"/>
  <c r="I87" i="13"/>
  <c r="K87" i="13"/>
  <c r="J85" i="13"/>
  <c r="I85" i="13"/>
  <c r="K85" i="13"/>
  <c r="J83" i="13"/>
  <c r="I83" i="13"/>
  <c r="K83" i="13"/>
  <c r="J81" i="13"/>
  <c r="I81" i="13"/>
  <c r="K81" i="13"/>
  <c r="J79" i="13"/>
  <c r="I79" i="13"/>
  <c r="K79" i="13"/>
  <c r="J74" i="13"/>
  <c r="I74" i="13"/>
  <c r="K74" i="13"/>
  <c r="J72" i="13"/>
  <c r="I72" i="13"/>
  <c r="K72" i="13"/>
  <c r="J70" i="13"/>
  <c r="I70" i="13"/>
  <c r="K70" i="13"/>
  <c r="J68" i="13"/>
  <c r="I68" i="13"/>
  <c r="H76" i="13"/>
  <c r="K68" i="13"/>
  <c r="J66" i="13"/>
  <c r="I66" i="13"/>
  <c r="K66" i="13"/>
  <c r="J64" i="13"/>
  <c r="I64" i="13"/>
  <c r="K64" i="13"/>
  <c r="J61" i="13"/>
  <c r="I61" i="13"/>
  <c r="K61" i="13"/>
  <c r="J59" i="13"/>
  <c r="I59" i="13"/>
  <c r="K59" i="13"/>
  <c r="J57" i="13"/>
  <c r="I57" i="13"/>
  <c r="K57" i="13"/>
  <c r="J55" i="13"/>
  <c r="I55" i="13"/>
  <c r="K55" i="13"/>
  <c r="J53" i="13"/>
  <c r="I53" i="13"/>
  <c r="K53" i="13"/>
  <c r="J51" i="13"/>
  <c r="I51" i="13"/>
  <c r="K51" i="13"/>
  <c r="J46" i="13"/>
  <c r="I46" i="13"/>
  <c r="K46" i="13"/>
  <c r="J44" i="13"/>
  <c r="I44" i="13"/>
  <c r="K44" i="13"/>
  <c r="J42" i="13"/>
  <c r="I42" i="13"/>
  <c r="K42" i="13"/>
  <c r="J40" i="13"/>
  <c r="I40" i="13"/>
  <c r="H48" i="13"/>
  <c r="K40" i="13"/>
  <c r="J38" i="13"/>
  <c r="I38" i="13"/>
  <c r="K38" i="13"/>
  <c r="J36" i="13"/>
  <c r="I36" i="13"/>
  <c r="K36" i="13"/>
  <c r="J33" i="13"/>
  <c r="I33" i="13"/>
  <c r="K33" i="13"/>
  <c r="J31" i="13"/>
  <c r="I31" i="13"/>
  <c r="K31" i="13"/>
  <c r="J29" i="13"/>
  <c r="I29" i="13"/>
  <c r="K29" i="13"/>
  <c r="J27" i="13"/>
  <c r="I27" i="13"/>
  <c r="K27" i="13"/>
  <c r="J25" i="13"/>
  <c r="I25" i="13"/>
  <c r="K25" i="13"/>
  <c r="J23" i="13"/>
  <c r="I23" i="13"/>
  <c r="K23" i="13"/>
  <c r="V19" i="13"/>
  <c r="U19" i="13"/>
  <c r="W19" i="13"/>
  <c r="V18" i="13"/>
  <c r="U18" i="13"/>
  <c r="W18" i="13"/>
  <c r="V17" i="13"/>
  <c r="U17" i="13"/>
  <c r="W17" i="13"/>
  <c r="V16" i="13"/>
  <c r="U16" i="13"/>
  <c r="W16" i="13"/>
  <c r="V15" i="13"/>
  <c r="U15" i="13"/>
  <c r="W15" i="13"/>
  <c r="V14" i="13"/>
  <c r="U14" i="13"/>
  <c r="W14" i="13"/>
  <c r="V13" i="13"/>
  <c r="U13" i="13"/>
  <c r="W13" i="13"/>
  <c r="V12" i="13"/>
  <c r="U12" i="13"/>
  <c r="T20" i="13"/>
  <c r="W12" i="13"/>
  <c r="V11" i="13"/>
  <c r="U11" i="13"/>
  <c r="W11" i="13"/>
  <c r="V10" i="13"/>
  <c r="U10" i="13"/>
  <c r="W10" i="13"/>
  <c r="V9" i="13"/>
  <c r="U9" i="13"/>
  <c r="W9" i="13"/>
  <c r="V8" i="13"/>
  <c r="U8" i="13"/>
  <c r="W8" i="13"/>
  <c r="V56" i="12"/>
  <c r="T56" i="12"/>
  <c r="S56" i="12"/>
  <c r="V53" i="12"/>
  <c r="T53" i="12"/>
  <c r="S53" i="12"/>
  <c r="V50" i="12"/>
  <c r="T50" i="12"/>
  <c r="S50" i="12"/>
  <c r="V47" i="12"/>
  <c r="T47" i="12"/>
  <c r="S47" i="12"/>
  <c r="V44" i="12"/>
  <c r="T44" i="12"/>
  <c r="S44" i="12"/>
  <c r="V41" i="12"/>
  <c r="T41" i="12"/>
  <c r="S41" i="12"/>
  <c r="V38" i="12"/>
  <c r="T38" i="12"/>
  <c r="S38" i="12"/>
  <c r="V35" i="12"/>
  <c r="T35" i="12"/>
  <c r="S35" i="12"/>
  <c r="V32" i="12"/>
  <c r="T32" i="12"/>
  <c r="S32" i="12"/>
  <c r="V29" i="12"/>
  <c r="T29" i="12"/>
  <c r="S29" i="12"/>
  <c r="V26" i="12"/>
  <c r="T26" i="12"/>
  <c r="S26" i="12"/>
  <c r="V23" i="12"/>
  <c r="T23" i="12"/>
  <c r="S23" i="12"/>
  <c r="V20" i="12"/>
  <c r="T20" i="12"/>
  <c r="S20" i="12"/>
  <c r="V17" i="12"/>
  <c r="T17" i="12"/>
  <c r="S17" i="12"/>
  <c r="J64" i="10"/>
  <c r="G51" i="10"/>
  <c r="J63" i="10"/>
  <c r="J52" i="10"/>
  <c r="J62" i="10"/>
  <c r="J59" i="10"/>
  <c r="J56" i="10"/>
  <c r="J53" i="10"/>
  <c r="J61" i="10"/>
  <c r="J58" i="10"/>
  <c r="J55" i="10"/>
  <c r="J65" i="10"/>
  <c r="J60" i="10"/>
  <c r="J57" i="10"/>
  <c r="J54" i="10"/>
  <c r="R48" i="6"/>
  <c r="Q48" i="6"/>
  <c r="S48" i="6"/>
  <c r="R42" i="6"/>
  <c r="Q42" i="6"/>
  <c r="S42" i="6"/>
  <c r="R36" i="6"/>
  <c r="Q36" i="6"/>
  <c r="S36" i="6"/>
  <c r="R30" i="6"/>
  <c r="Q30" i="6"/>
  <c r="S30" i="6"/>
  <c r="R24" i="6"/>
  <c r="Q24" i="6"/>
  <c r="S24" i="6"/>
  <c r="R18" i="6"/>
  <c r="Q18" i="6"/>
  <c r="S18" i="6"/>
  <c r="R11" i="6"/>
  <c r="Q11" i="6"/>
  <c r="S11" i="6"/>
  <c r="J25" i="15"/>
  <c r="I25" i="15"/>
  <c r="M25" i="15"/>
  <c r="L25" i="15"/>
  <c r="K25" i="15"/>
  <c r="T22" i="14"/>
  <c r="S22" i="14"/>
  <c r="L16" i="12"/>
  <c r="J16" i="12"/>
  <c r="I16" i="12"/>
  <c r="K16" i="12"/>
  <c r="L19" i="12"/>
  <c r="J19" i="12"/>
  <c r="I19" i="12"/>
  <c r="K19" i="12"/>
  <c r="L22" i="12"/>
  <c r="J22" i="12"/>
  <c r="I22" i="12"/>
  <c r="K22" i="12"/>
  <c r="L25" i="12"/>
  <c r="J25" i="12"/>
  <c r="I25" i="12"/>
  <c r="K25" i="12"/>
  <c r="L28" i="12"/>
  <c r="J28" i="12"/>
  <c r="I28" i="12"/>
  <c r="K28" i="12"/>
  <c r="L31" i="12"/>
  <c r="J31" i="12"/>
  <c r="I31" i="12"/>
  <c r="K31" i="12"/>
  <c r="L34" i="12"/>
  <c r="J34" i="12"/>
  <c r="I34" i="12"/>
  <c r="K34" i="12"/>
  <c r="L37" i="12"/>
  <c r="J37" i="12"/>
  <c r="I37" i="12"/>
  <c r="K37" i="12"/>
  <c r="L40" i="12"/>
  <c r="J40" i="12"/>
  <c r="I40" i="12"/>
  <c r="K40" i="12"/>
  <c r="L43" i="12"/>
  <c r="J43" i="12"/>
  <c r="I43" i="12"/>
  <c r="K43" i="12"/>
  <c r="L46" i="12"/>
  <c r="J46" i="12"/>
  <c r="I46" i="12"/>
  <c r="K46" i="12"/>
  <c r="L49" i="12"/>
  <c r="J49" i="12"/>
  <c r="I49" i="12"/>
  <c r="K49" i="12"/>
  <c r="L52" i="12"/>
  <c r="J52" i="12"/>
  <c r="I52" i="12"/>
  <c r="K52" i="12"/>
  <c r="L7" i="12"/>
  <c r="H54" i="12"/>
  <c r="K7" i="12"/>
  <c r="I7" i="12"/>
  <c r="J7" i="12"/>
  <c r="L10" i="12"/>
  <c r="K10" i="12"/>
  <c r="I10" i="12"/>
  <c r="J10" i="12"/>
  <c r="L12" i="12"/>
  <c r="K12" i="12"/>
  <c r="I12" i="12"/>
  <c r="J12" i="12"/>
  <c r="L14" i="12"/>
  <c r="K14" i="12"/>
  <c r="I14" i="12"/>
  <c r="J14" i="12"/>
  <c r="K17" i="12"/>
  <c r="J17" i="12"/>
  <c r="L17" i="12"/>
  <c r="I17" i="12"/>
  <c r="K20" i="12"/>
  <c r="J20" i="12"/>
  <c r="L20" i="12"/>
  <c r="I20" i="12"/>
  <c r="K23" i="12"/>
  <c r="J23" i="12"/>
  <c r="L23" i="12"/>
  <c r="I23" i="12"/>
  <c r="K26" i="12"/>
  <c r="J26" i="12"/>
  <c r="L26" i="12"/>
  <c r="I26" i="12"/>
  <c r="K29" i="12"/>
  <c r="J29" i="12"/>
  <c r="L29" i="12"/>
  <c r="I29" i="12"/>
  <c r="K32" i="12"/>
  <c r="J32" i="12"/>
  <c r="L32" i="12"/>
  <c r="I32" i="12"/>
  <c r="K35" i="12"/>
  <c r="J35" i="12"/>
  <c r="L35" i="12"/>
  <c r="I35" i="12"/>
  <c r="K38" i="12"/>
  <c r="J38" i="12"/>
  <c r="L38" i="12"/>
  <c r="I38" i="12"/>
  <c r="K41" i="12"/>
  <c r="J41" i="12"/>
  <c r="L41" i="12"/>
  <c r="I41" i="12"/>
  <c r="K44" i="12"/>
  <c r="J44" i="12"/>
  <c r="L44" i="12"/>
  <c r="I44" i="12"/>
  <c r="K47" i="12"/>
  <c r="J47" i="12"/>
  <c r="L47" i="12"/>
  <c r="I47" i="12"/>
  <c r="K50" i="12"/>
  <c r="J50" i="12"/>
  <c r="L50" i="12"/>
  <c r="I50" i="12"/>
  <c r="I11" i="12"/>
  <c r="L11" i="12"/>
  <c r="K11" i="12"/>
  <c r="J11" i="12"/>
  <c r="I13" i="12"/>
  <c r="L13" i="12"/>
  <c r="K13" i="12"/>
  <c r="J13" i="12"/>
  <c r="I15" i="12"/>
  <c r="L15" i="12"/>
  <c r="K15" i="12"/>
  <c r="J15" i="12"/>
  <c r="I18" i="12"/>
  <c r="L18" i="12"/>
  <c r="K18" i="12"/>
  <c r="J18" i="12"/>
  <c r="I21" i="12"/>
  <c r="L21" i="12"/>
  <c r="K21" i="12"/>
  <c r="J21" i="12"/>
  <c r="I24" i="12"/>
  <c r="L24" i="12"/>
  <c r="K24" i="12"/>
  <c r="J24" i="12"/>
  <c r="I27" i="12"/>
  <c r="L27" i="12"/>
  <c r="K27" i="12"/>
  <c r="J27" i="12"/>
  <c r="I30" i="12"/>
  <c r="L30" i="12"/>
  <c r="K30" i="12"/>
  <c r="J30" i="12"/>
  <c r="I33" i="12"/>
  <c r="L33" i="12"/>
  <c r="K33" i="12"/>
  <c r="J33" i="12"/>
  <c r="I36" i="12"/>
  <c r="L36" i="12"/>
  <c r="K36" i="12"/>
  <c r="J36" i="12"/>
  <c r="I39" i="12"/>
  <c r="L39" i="12"/>
  <c r="K39" i="12"/>
  <c r="J39" i="12"/>
  <c r="I42" i="12"/>
  <c r="L42" i="12"/>
  <c r="K42" i="12"/>
  <c r="J42" i="12"/>
  <c r="I45" i="12"/>
  <c r="L45" i="12"/>
  <c r="K45" i="12"/>
  <c r="J45" i="12"/>
  <c r="I48" i="12"/>
  <c r="L48" i="12"/>
  <c r="K48" i="12"/>
  <c r="J48" i="12"/>
  <c r="I51" i="12"/>
  <c r="L51" i="12"/>
  <c r="K51" i="12"/>
  <c r="J51" i="12"/>
  <c r="H53" i="12"/>
  <c r="K6" i="12"/>
  <c r="J6" i="12"/>
  <c r="I6" i="12"/>
  <c r="L6" i="12"/>
  <c r="H56" i="12"/>
  <c r="K9" i="12"/>
  <c r="J9" i="12"/>
  <c r="I9" i="12"/>
  <c r="L9" i="12"/>
  <c r="L74" i="10"/>
  <c r="I73" i="10"/>
  <c r="J25" i="6"/>
  <c r="I25" i="6"/>
  <c r="K25" i="6"/>
  <c r="T52" i="5"/>
  <c r="S52" i="5"/>
  <c r="W52" i="5"/>
  <c r="V52" i="5"/>
  <c r="U52" i="5"/>
  <c r="M44" i="5"/>
  <c r="K44" i="5"/>
  <c r="J44" i="5"/>
  <c r="I44" i="5"/>
  <c r="L44" i="5"/>
  <c r="M38" i="5"/>
  <c r="K38" i="5"/>
  <c r="J38" i="5"/>
  <c r="I38" i="5"/>
  <c r="L38" i="5"/>
  <c r="L215" i="3"/>
  <c r="K215" i="3"/>
  <c r="J215" i="3"/>
  <c r="L212" i="3"/>
  <c r="K212" i="3"/>
  <c r="J212" i="3"/>
  <c r="L209" i="3"/>
  <c r="K209" i="3"/>
  <c r="J209" i="3"/>
  <c r="E196" i="3"/>
  <c r="L183" i="3"/>
  <c r="I194" i="3"/>
  <c r="K183" i="3"/>
  <c r="J183" i="3"/>
  <c r="E193" i="3"/>
  <c r="I191" i="3"/>
  <c r="L180" i="3"/>
  <c r="K180" i="3"/>
  <c r="J180" i="3"/>
  <c r="E190" i="3"/>
  <c r="L177" i="3"/>
  <c r="I188" i="3"/>
  <c r="K177" i="3"/>
  <c r="J177" i="3"/>
  <c r="E187" i="3"/>
  <c r="L174" i="3"/>
  <c r="K174" i="3"/>
  <c r="J174" i="3"/>
  <c r="L171" i="3"/>
  <c r="K171" i="3"/>
  <c r="J171" i="3"/>
  <c r="L168" i="3"/>
  <c r="K168" i="3"/>
  <c r="J168" i="3"/>
  <c r="L165" i="3"/>
  <c r="K165" i="3"/>
  <c r="J165" i="3"/>
  <c r="L162" i="3"/>
  <c r="K162" i="3"/>
  <c r="J162" i="3"/>
  <c r="L159" i="3"/>
  <c r="K159" i="3"/>
  <c r="J159" i="3"/>
  <c r="L156" i="3"/>
  <c r="K156" i="3"/>
  <c r="J156" i="3"/>
  <c r="L153" i="3"/>
  <c r="K153" i="3"/>
  <c r="J153" i="3"/>
  <c r="L141" i="3"/>
  <c r="K141" i="3"/>
  <c r="J141" i="3"/>
  <c r="L138" i="3"/>
  <c r="K138" i="3"/>
  <c r="J138" i="3"/>
  <c r="L135" i="3"/>
  <c r="K135" i="3"/>
  <c r="J135" i="3"/>
  <c r="I123" i="3"/>
  <c r="L112" i="3"/>
  <c r="K112" i="3"/>
  <c r="J112" i="3"/>
  <c r="G121" i="3"/>
  <c r="I120" i="3"/>
  <c r="L109" i="3"/>
  <c r="K109" i="3"/>
  <c r="J109" i="3"/>
  <c r="G118" i="3"/>
  <c r="I117" i="3"/>
  <c r="L106" i="3"/>
  <c r="K106" i="3"/>
  <c r="J106" i="3"/>
  <c r="G115" i="3"/>
  <c r="I114" i="3"/>
  <c r="L103" i="3"/>
  <c r="K103" i="3"/>
  <c r="J103" i="3"/>
  <c r="L100" i="3"/>
  <c r="K100" i="3"/>
  <c r="J100" i="3"/>
  <c r="L97" i="3"/>
  <c r="K97" i="3"/>
  <c r="J97" i="3"/>
  <c r="L94" i="3"/>
  <c r="K94" i="3"/>
  <c r="J94" i="3"/>
  <c r="L91" i="3"/>
  <c r="K91" i="3"/>
  <c r="J91" i="3"/>
  <c r="L88" i="3"/>
  <c r="K88" i="3"/>
  <c r="J88" i="3"/>
  <c r="L85" i="3"/>
  <c r="K85" i="3"/>
  <c r="J85" i="3"/>
  <c r="L82" i="3"/>
  <c r="K82" i="3"/>
  <c r="J82" i="3"/>
  <c r="K67" i="2"/>
  <c r="J67" i="2"/>
  <c r="G68" i="2"/>
  <c r="L64" i="2"/>
  <c r="K64" i="2"/>
  <c r="J64" i="2"/>
  <c r="L61" i="2"/>
  <c r="K61" i="2"/>
  <c r="J61" i="2"/>
  <c r="K182" i="3"/>
  <c r="J182" i="3"/>
  <c r="I193" i="3"/>
  <c r="L182" i="3"/>
  <c r="K176" i="3"/>
  <c r="J176" i="3"/>
  <c r="I187" i="3"/>
  <c r="L176" i="3"/>
  <c r="K164" i="3"/>
  <c r="J164" i="3"/>
  <c r="L164" i="3"/>
  <c r="K158" i="3"/>
  <c r="J158" i="3"/>
  <c r="L158" i="3"/>
  <c r="K155" i="3"/>
  <c r="J155" i="3"/>
  <c r="L155" i="3"/>
  <c r="G120" i="3"/>
  <c r="G117" i="3"/>
  <c r="J31" i="6"/>
  <c r="I31" i="6"/>
  <c r="K31" i="6"/>
  <c r="T50" i="5"/>
  <c r="S50" i="5"/>
  <c r="W50" i="5"/>
  <c r="V50" i="5"/>
  <c r="U50" i="5"/>
  <c r="S46" i="5"/>
  <c r="W46" i="5"/>
  <c r="V46" i="5"/>
  <c r="U46" i="5"/>
  <c r="T46" i="5"/>
  <c r="S40" i="5"/>
  <c r="W40" i="5"/>
  <c r="V40" i="5"/>
  <c r="U40" i="5"/>
  <c r="T40" i="5"/>
  <c r="M34" i="5"/>
  <c r="K34" i="5"/>
  <c r="I34" i="5"/>
  <c r="J34" i="5"/>
  <c r="L34" i="5"/>
  <c r="M30" i="5"/>
  <c r="K30" i="5"/>
  <c r="I30" i="5"/>
  <c r="J30" i="5"/>
  <c r="L30" i="5"/>
  <c r="M26" i="5"/>
  <c r="K26" i="5"/>
  <c r="I26" i="5"/>
  <c r="J26" i="5"/>
  <c r="L26" i="5"/>
  <c r="M22" i="5"/>
  <c r="K22" i="5"/>
  <c r="I22" i="5"/>
  <c r="J22" i="5"/>
  <c r="L22" i="5"/>
  <c r="M18" i="5"/>
  <c r="K18" i="5"/>
  <c r="I18" i="5"/>
  <c r="J18" i="5"/>
  <c r="L18" i="5"/>
  <c r="W13" i="5"/>
  <c r="S13" i="5"/>
  <c r="V13" i="5"/>
  <c r="U13" i="5"/>
  <c r="T13" i="5"/>
  <c r="S11" i="5"/>
  <c r="V11" i="5"/>
  <c r="U11" i="5"/>
  <c r="T11" i="5"/>
  <c r="W11" i="5"/>
  <c r="S9" i="5"/>
  <c r="V9" i="5"/>
  <c r="U9" i="5"/>
  <c r="W9" i="5"/>
  <c r="T9" i="5"/>
  <c r="S7" i="5"/>
  <c r="V7" i="5"/>
  <c r="U7" i="5"/>
  <c r="W7" i="5"/>
  <c r="T7" i="5"/>
  <c r="F195" i="3"/>
  <c r="H194" i="3"/>
  <c r="F192" i="3"/>
  <c r="H191" i="3"/>
  <c r="F189" i="3"/>
  <c r="H188" i="3"/>
  <c r="F186" i="3"/>
  <c r="H123" i="3"/>
  <c r="F121" i="3"/>
  <c r="H120" i="3"/>
  <c r="F118" i="3"/>
  <c r="H117" i="3"/>
  <c r="F115" i="3"/>
  <c r="H114" i="3"/>
  <c r="J53" i="3"/>
  <c r="K53" i="3"/>
  <c r="J47" i="3"/>
  <c r="K47" i="3"/>
  <c r="J41" i="3"/>
  <c r="K41" i="3"/>
  <c r="F68" i="2"/>
  <c r="E43" i="2"/>
  <c r="G42" i="2"/>
  <c r="K20" i="2"/>
  <c r="J20" i="2"/>
  <c r="I18" i="2"/>
  <c r="L15" i="2"/>
  <c r="J15" i="2"/>
  <c r="K15" i="2"/>
  <c r="L12" i="2"/>
  <c r="J12" i="2"/>
  <c r="K12" i="2"/>
  <c r="J9" i="2"/>
  <c r="L9" i="2"/>
  <c r="K9" i="2"/>
  <c r="J141" i="15"/>
  <c r="I141" i="15"/>
  <c r="M141" i="15"/>
  <c r="L141" i="15"/>
  <c r="K141" i="15"/>
  <c r="J43" i="6"/>
  <c r="I43" i="6"/>
  <c r="K43" i="6"/>
  <c r="H196" i="3"/>
  <c r="F194" i="3"/>
  <c r="H193" i="3"/>
  <c r="F191" i="3"/>
  <c r="H190" i="3"/>
  <c r="F188" i="3"/>
  <c r="H187" i="3"/>
  <c r="F123" i="3"/>
  <c r="F120" i="3"/>
  <c r="F117" i="3"/>
  <c r="F114" i="3"/>
  <c r="E42" i="2"/>
  <c r="K23" i="2"/>
  <c r="J23" i="2"/>
  <c r="L23" i="2"/>
  <c r="K14" i="2"/>
  <c r="J14" i="2"/>
  <c r="I17" i="2"/>
  <c r="L14" i="2"/>
  <c r="K11" i="2"/>
  <c r="L11" i="2"/>
  <c r="J11" i="2"/>
  <c r="K8" i="2"/>
  <c r="J8" i="2"/>
  <c r="L8" i="2"/>
  <c r="J17" i="5"/>
  <c r="L17" i="5"/>
  <c r="M17" i="5"/>
  <c r="K17" i="5"/>
  <c r="I17" i="5"/>
  <c r="J19" i="5"/>
  <c r="L19" i="5"/>
  <c r="M19" i="5"/>
  <c r="K19" i="5"/>
  <c r="I19" i="5"/>
  <c r="J21" i="5"/>
  <c r="L21" i="5"/>
  <c r="M21" i="5"/>
  <c r="K21" i="5"/>
  <c r="I21" i="5"/>
  <c r="J23" i="5"/>
  <c r="L23" i="5"/>
  <c r="M23" i="5"/>
  <c r="K23" i="5"/>
  <c r="I23" i="5"/>
  <c r="J25" i="5"/>
  <c r="L25" i="5"/>
  <c r="M25" i="5"/>
  <c r="K25" i="5"/>
  <c r="I25" i="5"/>
  <c r="J27" i="5"/>
  <c r="L27" i="5"/>
  <c r="M27" i="5"/>
  <c r="K27" i="5"/>
  <c r="I27" i="5"/>
  <c r="J29" i="5"/>
  <c r="L29" i="5"/>
  <c r="M29" i="5"/>
  <c r="K29" i="5"/>
  <c r="I29" i="5"/>
  <c r="J31" i="5"/>
  <c r="L31" i="5"/>
  <c r="M31" i="5"/>
  <c r="K31" i="5"/>
  <c r="I31" i="5"/>
  <c r="J33" i="5"/>
  <c r="L33" i="5"/>
  <c r="M33" i="5"/>
  <c r="K33" i="5"/>
  <c r="I33" i="5"/>
  <c r="J35" i="5"/>
  <c r="L35" i="5"/>
  <c r="M35" i="5"/>
  <c r="K35" i="5"/>
  <c r="I35" i="5"/>
  <c r="J37" i="5"/>
  <c r="M37" i="5"/>
  <c r="L37" i="5"/>
  <c r="K37" i="5"/>
  <c r="I37" i="5"/>
  <c r="J39" i="5"/>
  <c r="M39" i="5"/>
  <c r="L39" i="5"/>
  <c r="K39" i="5"/>
  <c r="I39" i="5"/>
  <c r="J41" i="5"/>
  <c r="M41" i="5"/>
  <c r="L41" i="5"/>
  <c r="K41" i="5"/>
  <c r="I41" i="5"/>
  <c r="J43" i="5"/>
  <c r="M43" i="5"/>
  <c r="L43" i="5"/>
  <c r="K43" i="5"/>
  <c r="I43" i="5"/>
  <c r="J45" i="5"/>
  <c r="M45" i="5"/>
  <c r="L45" i="5"/>
  <c r="K45" i="5"/>
  <c r="I45" i="5"/>
  <c r="J47" i="5"/>
  <c r="M47" i="5"/>
  <c r="L47" i="5"/>
  <c r="I47" i="5"/>
  <c r="K47" i="5"/>
  <c r="K49" i="5"/>
  <c r="J49" i="5"/>
  <c r="M49" i="5"/>
  <c r="L49" i="5"/>
  <c r="I49" i="5"/>
  <c r="K51" i="5"/>
  <c r="J51" i="5"/>
  <c r="M51" i="5"/>
  <c r="L51" i="5"/>
  <c r="I51" i="5"/>
  <c r="J14" i="5"/>
  <c r="M14" i="5"/>
  <c r="K14" i="5"/>
  <c r="I14" i="5"/>
  <c r="L14" i="5"/>
  <c r="L16" i="5"/>
  <c r="J16" i="5"/>
  <c r="M16" i="5"/>
  <c r="K16" i="5"/>
  <c r="I16" i="5"/>
  <c r="M48" i="5"/>
  <c r="K48" i="5"/>
  <c r="J48" i="5"/>
  <c r="I48" i="5"/>
  <c r="L48" i="5"/>
  <c r="M50" i="5"/>
  <c r="K50" i="5"/>
  <c r="J50" i="5"/>
  <c r="I50" i="5"/>
  <c r="L50" i="5"/>
  <c r="M52" i="5"/>
  <c r="K52" i="5"/>
  <c r="J52" i="5"/>
  <c r="I52" i="5"/>
  <c r="L52" i="5"/>
  <c r="K214" i="3"/>
  <c r="J214" i="3"/>
  <c r="L214" i="3"/>
  <c r="K208" i="3"/>
  <c r="J208" i="3"/>
  <c r="L208" i="3"/>
  <c r="K185" i="3"/>
  <c r="J185" i="3"/>
  <c r="I196" i="3"/>
  <c r="L185" i="3"/>
  <c r="K179" i="3"/>
  <c r="J179" i="3"/>
  <c r="I190" i="3"/>
  <c r="L179" i="3"/>
  <c r="K173" i="3"/>
  <c r="J173" i="3"/>
  <c r="L173" i="3"/>
  <c r="K167" i="3"/>
  <c r="J167" i="3"/>
  <c r="L167" i="3"/>
  <c r="G123" i="3"/>
  <c r="J19" i="2"/>
  <c r="K19" i="2"/>
  <c r="J15" i="15"/>
  <c r="I15" i="15"/>
  <c r="M15" i="15"/>
  <c r="L15" i="15"/>
  <c r="K15" i="15"/>
  <c r="J44" i="15"/>
  <c r="I44" i="15"/>
  <c r="M44" i="15"/>
  <c r="L44" i="15"/>
  <c r="K44" i="15"/>
  <c r="J83" i="15"/>
  <c r="I83" i="15"/>
  <c r="M83" i="15"/>
  <c r="H91" i="15"/>
  <c r="L83" i="15"/>
  <c r="K83" i="15"/>
  <c r="J122" i="15"/>
  <c r="I122" i="15"/>
  <c r="M122" i="15"/>
  <c r="L122" i="15"/>
  <c r="K122" i="15"/>
  <c r="J160" i="15"/>
  <c r="I160" i="15"/>
  <c r="M160" i="15"/>
  <c r="L160" i="15"/>
  <c r="K160" i="15"/>
  <c r="J38" i="15"/>
  <c r="I38" i="15"/>
  <c r="M38" i="15"/>
  <c r="L38" i="15"/>
  <c r="K38" i="15"/>
  <c r="J76" i="15"/>
  <c r="I76" i="15"/>
  <c r="M76" i="15"/>
  <c r="L76" i="15"/>
  <c r="K76" i="15"/>
  <c r="J115" i="15"/>
  <c r="I115" i="15"/>
  <c r="M115" i="15"/>
  <c r="L115" i="15"/>
  <c r="K115" i="15"/>
  <c r="J154" i="15"/>
  <c r="I154" i="15"/>
  <c r="M154" i="15"/>
  <c r="L154" i="15"/>
  <c r="K154" i="15"/>
  <c r="J9" i="15"/>
  <c r="I9" i="15"/>
  <c r="M9" i="15"/>
  <c r="L9" i="15"/>
  <c r="K9" i="15"/>
  <c r="J18" i="15"/>
  <c r="I18" i="15"/>
  <c r="M18" i="15"/>
  <c r="L18" i="15"/>
  <c r="K18" i="15"/>
  <c r="J31" i="15"/>
  <c r="I31" i="15"/>
  <c r="M31" i="15"/>
  <c r="L31" i="15"/>
  <c r="K31" i="15"/>
  <c r="J70" i="15"/>
  <c r="I70" i="15"/>
  <c r="M70" i="15"/>
  <c r="L70" i="15"/>
  <c r="K70" i="15"/>
  <c r="J109" i="15"/>
  <c r="I109" i="15"/>
  <c r="M109" i="15"/>
  <c r="L109" i="15"/>
  <c r="K109" i="15"/>
  <c r="J12" i="15"/>
  <c r="I12" i="15"/>
  <c r="M12" i="15"/>
  <c r="L12" i="15"/>
  <c r="K12" i="15"/>
  <c r="J57" i="15"/>
  <c r="I57" i="15"/>
  <c r="M57" i="15"/>
  <c r="L57" i="15"/>
  <c r="K57" i="15"/>
  <c r="J96" i="15"/>
  <c r="I96" i="15"/>
  <c r="M96" i="15"/>
  <c r="L96" i="15"/>
  <c r="K96" i="15"/>
  <c r="J135" i="15"/>
  <c r="I135" i="15"/>
  <c r="M135" i="15"/>
  <c r="L135" i="15"/>
  <c r="K135" i="15"/>
  <c r="J51" i="15"/>
  <c r="I51" i="15"/>
  <c r="M51" i="15"/>
  <c r="L51" i="15"/>
  <c r="K51" i="15"/>
  <c r="J89" i="15"/>
  <c r="I89" i="15"/>
  <c r="M89" i="15"/>
  <c r="L89" i="15"/>
  <c r="K89" i="15"/>
  <c r="J128" i="15"/>
  <c r="I128" i="15"/>
  <c r="M128" i="15"/>
  <c r="L128" i="15"/>
  <c r="K128" i="15"/>
  <c r="M28" i="15"/>
  <c r="L28" i="15"/>
  <c r="J28" i="15"/>
  <c r="I28" i="15"/>
  <c r="K28" i="15"/>
  <c r="M34" i="15"/>
  <c r="L34" i="15"/>
  <c r="J34" i="15"/>
  <c r="I34" i="15"/>
  <c r="K34" i="15"/>
  <c r="M41" i="15"/>
  <c r="H49" i="15"/>
  <c r="L41" i="15"/>
  <c r="J41" i="15"/>
  <c r="I41" i="15"/>
  <c r="K41" i="15"/>
  <c r="M47" i="15"/>
  <c r="L47" i="15"/>
  <c r="J47" i="15"/>
  <c r="I47" i="15"/>
  <c r="K47" i="15"/>
  <c r="M54" i="15"/>
  <c r="L54" i="15"/>
  <c r="J54" i="15"/>
  <c r="I54" i="15"/>
  <c r="K54" i="15"/>
  <c r="M60" i="15"/>
  <c r="L60" i="15"/>
  <c r="J60" i="15"/>
  <c r="I60" i="15"/>
  <c r="K60" i="15"/>
  <c r="M67" i="15"/>
  <c r="L67" i="15"/>
  <c r="J67" i="15"/>
  <c r="I67" i="15"/>
  <c r="K67" i="15"/>
  <c r="M73" i="15"/>
  <c r="L73" i="15"/>
  <c r="J73" i="15"/>
  <c r="I73" i="15"/>
  <c r="K73" i="15"/>
  <c r="M80" i="15"/>
  <c r="L80" i="15"/>
  <c r="J80" i="15"/>
  <c r="I80" i="15"/>
  <c r="K80" i="15"/>
  <c r="M86" i="15"/>
  <c r="L86" i="15"/>
  <c r="J86" i="15"/>
  <c r="I86" i="15"/>
  <c r="K86" i="15"/>
  <c r="M93" i="15"/>
  <c r="L93" i="15"/>
  <c r="J93" i="15"/>
  <c r="I93" i="15"/>
  <c r="K93" i="15"/>
  <c r="M99" i="15"/>
  <c r="L99" i="15"/>
  <c r="J99" i="15"/>
  <c r="I99" i="15"/>
  <c r="K99" i="15"/>
  <c r="M112" i="15"/>
  <c r="L112" i="15"/>
  <c r="J112" i="15"/>
  <c r="I112" i="15"/>
  <c r="K112" i="15"/>
  <c r="M118" i="15"/>
  <c r="L118" i="15"/>
  <c r="J118" i="15"/>
  <c r="I118" i="15"/>
  <c r="K118" i="15"/>
  <c r="M125" i="15"/>
  <c r="H133" i="15"/>
  <c r="L125" i="15"/>
  <c r="J125" i="15"/>
  <c r="I125" i="15"/>
  <c r="K125" i="15"/>
  <c r="M131" i="15"/>
  <c r="L131" i="15"/>
  <c r="J131" i="15"/>
  <c r="I131" i="15"/>
  <c r="K131" i="15"/>
  <c r="M138" i="15"/>
  <c r="L138" i="15"/>
  <c r="J138" i="15"/>
  <c r="I138" i="15"/>
  <c r="K138" i="15"/>
  <c r="M144" i="15"/>
  <c r="L144" i="15"/>
  <c r="J144" i="15"/>
  <c r="I144" i="15"/>
  <c r="K144" i="15"/>
  <c r="M151" i="15"/>
  <c r="L151" i="15"/>
  <c r="J151" i="15"/>
  <c r="I151" i="15"/>
  <c r="K151" i="15"/>
  <c r="M157" i="15"/>
  <c r="L157" i="15"/>
  <c r="J157" i="15"/>
  <c r="I157" i="15"/>
  <c r="K157" i="15"/>
  <c r="L11" i="15"/>
  <c r="K11" i="15"/>
  <c r="I11" i="15"/>
  <c r="M11" i="15"/>
  <c r="J11" i="15"/>
  <c r="L14" i="15"/>
  <c r="K14" i="15"/>
  <c r="I14" i="15"/>
  <c r="M14" i="15"/>
  <c r="J14" i="15"/>
  <c r="L17" i="15"/>
  <c r="K17" i="15"/>
  <c r="I17" i="15"/>
  <c r="J17" i="15"/>
  <c r="M17" i="15"/>
  <c r="L20" i="15"/>
  <c r="K20" i="15"/>
  <c r="I20" i="15"/>
  <c r="M20" i="15"/>
  <c r="J20" i="15"/>
  <c r="H35" i="15"/>
  <c r="L27" i="15"/>
  <c r="K27" i="15"/>
  <c r="I27" i="15"/>
  <c r="M27" i="15"/>
  <c r="J27" i="15"/>
  <c r="L33" i="15"/>
  <c r="K33" i="15"/>
  <c r="I33" i="15"/>
  <c r="M33" i="15"/>
  <c r="J33" i="15"/>
  <c r="L40" i="15"/>
  <c r="K40" i="15"/>
  <c r="I40" i="15"/>
  <c r="M40" i="15"/>
  <c r="J40" i="15"/>
  <c r="L46" i="15"/>
  <c r="K46" i="15"/>
  <c r="I46" i="15"/>
  <c r="M46" i="15"/>
  <c r="J46" i="15"/>
  <c r="L53" i="15"/>
  <c r="K53" i="15"/>
  <c r="I53" i="15"/>
  <c r="M53" i="15"/>
  <c r="J53" i="15"/>
  <c r="L59" i="15"/>
  <c r="K59" i="15"/>
  <c r="I59" i="15"/>
  <c r="M59" i="15"/>
  <c r="J59" i="15"/>
  <c r="L66" i="15"/>
  <c r="K66" i="15"/>
  <c r="I66" i="15"/>
  <c r="M66" i="15"/>
  <c r="J66" i="15"/>
  <c r="L72" i="15"/>
  <c r="K72" i="15"/>
  <c r="I72" i="15"/>
  <c r="M72" i="15"/>
  <c r="J72" i="15"/>
  <c r="L79" i="15"/>
  <c r="K79" i="15"/>
  <c r="I79" i="15"/>
  <c r="M79" i="15"/>
  <c r="J79" i="15"/>
  <c r="L85" i="15"/>
  <c r="K85" i="15"/>
  <c r="I85" i="15"/>
  <c r="M85" i="15"/>
  <c r="J85" i="15"/>
  <c r="L98" i="15"/>
  <c r="K98" i="15"/>
  <c r="I98" i="15"/>
  <c r="M98" i="15"/>
  <c r="J98" i="15"/>
  <c r="L104" i="15"/>
  <c r="K104" i="15"/>
  <c r="I104" i="15"/>
  <c r="M104" i="15"/>
  <c r="J104" i="15"/>
  <c r="H119" i="15"/>
  <c r="L111" i="15"/>
  <c r="K111" i="15"/>
  <c r="I111" i="15"/>
  <c r="M111" i="15"/>
  <c r="J111" i="15"/>
  <c r="L117" i="15"/>
  <c r="K117" i="15"/>
  <c r="I117" i="15"/>
  <c r="M117" i="15"/>
  <c r="J117" i="15"/>
  <c r="L124" i="15"/>
  <c r="K124" i="15"/>
  <c r="I124" i="15"/>
  <c r="M124" i="15"/>
  <c r="J124" i="15"/>
  <c r="L130" i="15"/>
  <c r="K130" i="15"/>
  <c r="I130" i="15"/>
  <c r="M130" i="15"/>
  <c r="J130" i="15"/>
  <c r="L137" i="15"/>
  <c r="K137" i="15"/>
  <c r="I137" i="15"/>
  <c r="M137" i="15"/>
  <c r="J137" i="15"/>
  <c r="L143" i="15"/>
  <c r="K143" i="15"/>
  <c r="I143" i="15"/>
  <c r="M143" i="15"/>
  <c r="J143" i="15"/>
  <c r="L150" i="15"/>
  <c r="K150" i="15"/>
  <c r="I150" i="15"/>
  <c r="M150" i="15"/>
  <c r="J150" i="15"/>
  <c r="L156" i="15"/>
  <c r="K156" i="15"/>
  <c r="I156" i="15"/>
  <c r="M156" i="15"/>
  <c r="J156" i="15"/>
  <c r="K26" i="15"/>
  <c r="J26" i="15"/>
  <c r="M26" i="15"/>
  <c r="L26" i="15"/>
  <c r="I26" i="15"/>
  <c r="K32" i="15"/>
  <c r="J32" i="15"/>
  <c r="M32" i="15"/>
  <c r="L32" i="15"/>
  <c r="I32" i="15"/>
  <c r="K39" i="15"/>
  <c r="J39" i="15"/>
  <c r="M39" i="15"/>
  <c r="L39" i="15"/>
  <c r="I39" i="15"/>
  <c r="K45" i="15"/>
  <c r="J45" i="15"/>
  <c r="M45" i="15"/>
  <c r="L45" i="15"/>
  <c r="I45" i="15"/>
  <c r="K52" i="15"/>
  <c r="J52" i="15"/>
  <c r="M52" i="15"/>
  <c r="L52" i="15"/>
  <c r="I52" i="15"/>
  <c r="K58" i="15"/>
  <c r="J58" i="15"/>
  <c r="M58" i="15"/>
  <c r="L58" i="15"/>
  <c r="I58" i="15"/>
  <c r="K65" i="15"/>
  <c r="J65" i="15"/>
  <c r="M65" i="15"/>
  <c r="L65" i="15"/>
  <c r="I65" i="15"/>
  <c r="K71" i="15"/>
  <c r="J71" i="15"/>
  <c r="M71" i="15"/>
  <c r="L71" i="15"/>
  <c r="I71" i="15"/>
  <c r="K84" i="15"/>
  <c r="J84" i="15"/>
  <c r="M84" i="15"/>
  <c r="L84" i="15"/>
  <c r="I84" i="15"/>
  <c r="K90" i="15"/>
  <c r="J90" i="15"/>
  <c r="M90" i="15"/>
  <c r="L90" i="15"/>
  <c r="I90" i="15"/>
  <c r="K97" i="15"/>
  <c r="J97" i="15"/>
  <c r="M97" i="15"/>
  <c r="H105" i="15"/>
  <c r="L97" i="15"/>
  <c r="I97" i="15"/>
  <c r="K103" i="15"/>
  <c r="J103" i="15"/>
  <c r="M103" i="15"/>
  <c r="L103" i="15"/>
  <c r="I103" i="15"/>
  <c r="K110" i="15"/>
  <c r="J110" i="15"/>
  <c r="M110" i="15"/>
  <c r="L110" i="15"/>
  <c r="I110" i="15"/>
  <c r="K116" i="15"/>
  <c r="J116" i="15"/>
  <c r="M116" i="15"/>
  <c r="L116" i="15"/>
  <c r="I116" i="15"/>
  <c r="K123" i="15"/>
  <c r="J123" i="15"/>
  <c r="M123" i="15"/>
  <c r="L123" i="15"/>
  <c r="I123" i="15"/>
  <c r="K129" i="15"/>
  <c r="J129" i="15"/>
  <c r="M129" i="15"/>
  <c r="L129" i="15"/>
  <c r="I129" i="15"/>
  <c r="K136" i="15"/>
  <c r="J136" i="15"/>
  <c r="M136" i="15"/>
  <c r="L136" i="15"/>
  <c r="I136" i="15"/>
  <c r="K142" i="15"/>
  <c r="J142" i="15"/>
  <c r="M142" i="15"/>
  <c r="L142" i="15"/>
  <c r="I142" i="15"/>
  <c r="K149" i="15"/>
  <c r="J149" i="15"/>
  <c r="M149" i="15"/>
  <c r="L149" i="15"/>
  <c r="I149" i="15"/>
  <c r="K155" i="15"/>
  <c r="J155" i="15"/>
  <c r="M155" i="15"/>
  <c r="L155" i="15"/>
  <c r="I155" i="15"/>
  <c r="I24" i="15"/>
  <c r="L24" i="15"/>
  <c r="K24" i="15"/>
  <c r="J24" i="15"/>
  <c r="M24" i="15"/>
  <c r="I30" i="15"/>
  <c r="L30" i="15"/>
  <c r="K30" i="15"/>
  <c r="J30" i="15"/>
  <c r="M30" i="15"/>
  <c r="I37" i="15"/>
  <c r="L37" i="15"/>
  <c r="K37" i="15"/>
  <c r="J37" i="15"/>
  <c r="M37" i="15"/>
  <c r="I43" i="15"/>
  <c r="L43" i="15"/>
  <c r="K43" i="15"/>
  <c r="J43" i="15"/>
  <c r="M43" i="15"/>
  <c r="I56" i="15"/>
  <c r="L56" i="15"/>
  <c r="K56" i="15"/>
  <c r="J56" i="15"/>
  <c r="M56" i="15"/>
  <c r="I62" i="15"/>
  <c r="L62" i="15"/>
  <c r="K62" i="15"/>
  <c r="J62" i="15"/>
  <c r="M62" i="15"/>
  <c r="I69" i="15"/>
  <c r="H77" i="15"/>
  <c r="L69" i="15"/>
  <c r="K69" i="15"/>
  <c r="J69" i="15"/>
  <c r="M69" i="15"/>
  <c r="I75" i="15"/>
  <c r="L75" i="15"/>
  <c r="K75" i="15"/>
  <c r="J75" i="15"/>
  <c r="M75" i="15"/>
  <c r="I82" i="15"/>
  <c r="L82" i="15"/>
  <c r="K82" i="15"/>
  <c r="J82" i="15"/>
  <c r="M82" i="15"/>
  <c r="I88" i="15"/>
  <c r="L88" i="15"/>
  <c r="K88" i="15"/>
  <c r="J88" i="15"/>
  <c r="M88" i="15"/>
  <c r="I95" i="15"/>
  <c r="L95" i="15"/>
  <c r="K95" i="15"/>
  <c r="J95" i="15"/>
  <c r="M95" i="15"/>
  <c r="I101" i="15"/>
  <c r="L101" i="15"/>
  <c r="K101" i="15"/>
  <c r="J101" i="15"/>
  <c r="M101" i="15"/>
  <c r="I108" i="15"/>
  <c r="L108" i="15"/>
  <c r="K108" i="15"/>
  <c r="J108" i="15"/>
  <c r="M108" i="15"/>
  <c r="I114" i="15"/>
  <c r="L114" i="15"/>
  <c r="K114" i="15"/>
  <c r="J114" i="15"/>
  <c r="M114" i="15"/>
  <c r="I121" i="15"/>
  <c r="L121" i="15"/>
  <c r="K121" i="15"/>
  <c r="J121" i="15"/>
  <c r="M121" i="15"/>
  <c r="I127" i="15"/>
  <c r="L127" i="15"/>
  <c r="K127" i="15"/>
  <c r="J127" i="15"/>
  <c r="M127" i="15"/>
  <c r="I140" i="15"/>
  <c r="L140" i="15"/>
  <c r="K140" i="15"/>
  <c r="J140" i="15"/>
  <c r="M140" i="15"/>
  <c r="I146" i="15"/>
  <c r="L146" i="15"/>
  <c r="K146" i="15"/>
  <c r="J146" i="15"/>
  <c r="M146" i="15"/>
  <c r="I153" i="15"/>
  <c r="H161" i="15"/>
  <c r="L153" i="15"/>
  <c r="K153" i="15"/>
  <c r="J153" i="15"/>
  <c r="M153" i="15"/>
  <c r="I159" i="15"/>
  <c r="L159" i="15"/>
  <c r="K159" i="15"/>
  <c r="J159" i="15"/>
  <c r="M159" i="15"/>
  <c r="M10" i="15"/>
  <c r="K10" i="15"/>
  <c r="J10" i="15"/>
  <c r="L10" i="15"/>
  <c r="I10" i="15"/>
  <c r="M13" i="15"/>
  <c r="K13" i="15"/>
  <c r="J13" i="15"/>
  <c r="I13" i="15"/>
  <c r="H21" i="15"/>
  <c r="L13" i="15"/>
  <c r="M16" i="15"/>
  <c r="K16" i="15"/>
  <c r="J16" i="15"/>
  <c r="L16" i="15"/>
  <c r="I16" i="15"/>
  <c r="M19" i="15"/>
  <c r="K19" i="15"/>
  <c r="J19" i="15"/>
  <c r="I19" i="15"/>
  <c r="L19" i="15"/>
  <c r="M23" i="15"/>
  <c r="K23" i="15"/>
  <c r="J23" i="15"/>
  <c r="I23" i="15"/>
  <c r="L23" i="15"/>
  <c r="M29" i="15"/>
  <c r="K29" i="15"/>
  <c r="J29" i="15"/>
  <c r="I29" i="15"/>
  <c r="L29" i="15"/>
  <c r="M42" i="15"/>
  <c r="K42" i="15"/>
  <c r="J42" i="15"/>
  <c r="I42" i="15"/>
  <c r="L42" i="15"/>
  <c r="M48" i="15"/>
  <c r="K48" i="15"/>
  <c r="J48" i="15"/>
  <c r="I48" i="15"/>
  <c r="L48" i="15"/>
  <c r="M55" i="15"/>
  <c r="K55" i="15"/>
  <c r="J55" i="15"/>
  <c r="I55" i="15"/>
  <c r="L55" i="15"/>
  <c r="H63" i="15"/>
  <c r="M61" i="15"/>
  <c r="K61" i="15"/>
  <c r="J61" i="15"/>
  <c r="I61" i="15"/>
  <c r="L61" i="15"/>
  <c r="M68" i="15"/>
  <c r="K68" i="15"/>
  <c r="J68" i="15"/>
  <c r="I68" i="15"/>
  <c r="L68" i="15"/>
  <c r="M74" i="15"/>
  <c r="K74" i="15"/>
  <c r="J74" i="15"/>
  <c r="I74" i="15"/>
  <c r="L74" i="15"/>
  <c r="M81" i="15"/>
  <c r="K81" i="15"/>
  <c r="J81" i="15"/>
  <c r="I81" i="15"/>
  <c r="L81" i="15"/>
  <c r="M87" i="15"/>
  <c r="K87" i="15"/>
  <c r="J87" i="15"/>
  <c r="I87" i="15"/>
  <c r="L87" i="15"/>
  <c r="M94" i="15"/>
  <c r="K94" i="15"/>
  <c r="J94" i="15"/>
  <c r="I94" i="15"/>
  <c r="L94" i="15"/>
  <c r="M100" i="15"/>
  <c r="K100" i="15"/>
  <c r="J100" i="15"/>
  <c r="I100" i="15"/>
  <c r="L100" i="15"/>
  <c r="M107" i="15"/>
  <c r="K107" i="15"/>
  <c r="J107" i="15"/>
  <c r="I107" i="15"/>
  <c r="L107" i="15"/>
  <c r="M113" i="15"/>
  <c r="K113" i="15"/>
  <c r="J113" i="15"/>
  <c r="I113" i="15"/>
  <c r="L113" i="15"/>
  <c r="M126" i="15"/>
  <c r="K126" i="15"/>
  <c r="J126" i="15"/>
  <c r="I126" i="15"/>
  <c r="L126" i="15"/>
  <c r="M132" i="15"/>
  <c r="K132" i="15"/>
  <c r="J132" i="15"/>
  <c r="I132" i="15"/>
  <c r="L132" i="15"/>
  <c r="M139" i="15"/>
  <c r="K139" i="15"/>
  <c r="J139" i="15"/>
  <c r="I139" i="15"/>
  <c r="H147" i="15"/>
  <c r="L139" i="15"/>
  <c r="M145" i="15"/>
  <c r="K145" i="15"/>
  <c r="J145" i="15"/>
  <c r="I145" i="15"/>
  <c r="L145" i="15"/>
  <c r="M152" i="15"/>
  <c r="K152" i="15"/>
  <c r="J152" i="15"/>
  <c r="I152" i="15"/>
  <c r="L152" i="15"/>
  <c r="M158" i="15"/>
  <c r="K158" i="15"/>
  <c r="J158" i="15"/>
  <c r="I158" i="15"/>
  <c r="L158" i="15"/>
  <c r="J49" i="6"/>
  <c r="I49" i="6"/>
  <c r="K49" i="6"/>
  <c r="M40" i="5"/>
  <c r="K40" i="5"/>
  <c r="J40" i="5"/>
  <c r="I40" i="5"/>
  <c r="L40" i="5"/>
  <c r="M36" i="5"/>
  <c r="K36" i="5"/>
  <c r="I36" i="5"/>
  <c r="J36" i="5"/>
  <c r="L36" i="5"/>
  <c r="M32" i="5"/>
  <c r="K32" i="5"/>
  <c r="I32" i="5"/>
  <c r="L32" i="5"/>
  <c r="J32" i="5"/>
  <c r="M28" i="5"/>
  <c r="K28" i="5"/>
  <c r="I28" i="5"/>
  <c r="J28" i="5"/>
  <c r="L28" i="5"/>
  <c r="M24" i="5"/>
  <c r="K24" i="5"/>
  <c r="I24" i="5"/>
  <c r="J24" i="5"/>
  <c r="L24" i="5"/>
  <c r="M20" i="5"/>
  <c r="K20" i="5"/>
  <c r="I20" i="5"/>
  <c r="J20" i="5"/>
  <c r="L20" i="5"/>
  <c r="K15" i="5"/>
  <c r="I15" i="5"/>
  <c r="M15" i="5"/>
  <c r="J15" i="5"/>
  <c r="L15" i="5"/>
  <c r="T14" i="5"/>
  <c r="V14" i="5"/>
  <c r="U14" i="5"/>
  <c r="W14" i="5"/>
  <c r="S14" i="5"/>
  <c r="V12" i="5"/>
  <c r="U12" i="5"/>
  <c r="S12" i="5"/>
  <c r="T12" i="5"/>
  <c r="W12" i="5"/>
  <c r="V10" i="5"/>
  <c r="U10" i="5"/>
  <c r="S10" i="5"/>
  <c r="W10" i="5"/>
  <c r="T10" i="5"/>
  <c r="V8" i="5"/>
  <c r="U8" i="5"/>
  <c r="S8" i="5"/>
  <c r="T8" i="5"/>
  <c r="W8" i="5"/>
  <c r="V17" i="5"/>
  <c r="T17" i="5"/>
  <c r="S17" i="5"/>
  <c r="W17" i="5"/>
  <c r="U17" i="5"/>
  <c r="V19" i="5"/>
  <c r="T19" i="5"/>
  <c r="W19" i="5"/>
  <c r="S19" i="5"/>
  <c r="U19" i="5"/>
  <c r="V21" i="5"/>
  <c r="T21" i="5"/>
  <c r="S21" i="5"/>
  <c r="W21" i="5"/>
  <c r="U21" i="5"/>
  <c r="V23" i="5"/>
  <c r="T23" i="5"/>
  <c r="W23" i="5"/>
  <c r="S23" i="5"/>
  <c r="U23" i="5"/>
  <c r="V25" i="5"/>
  <c r="T25" i="5"/>
  <c r="S25" i="5"/>
  <c r="W25" i="5"/>
  <c r="U25" i="5"/>
  <c r="V27" i="5"/>
  <c r="T27" i="5"/>
  <c r="W27" i="5"/>
  <c r="S27" i="5"/>
  <c r="U27" i="5"/>
  <c r="V29" i="5"/>
  <c r="T29" i="5"/>
  <c r="S29" i="5"/>
  <c r="W29" i="5"/>
  <c r="U29" i="5"/>
  <c r="V31" i="5"/>
  <c r="T31" i="5"/>
  <c r="W31" i="5"/>
  <c r="U31" i="5"/>
  <c r="S31" i="5"/>
  <c r="V33" i="5"/>
  <c r="T33" i="5"/>
  <c r="S33" i="5"/>
  <c r="W33" i="5"/>
  <c r="U33" i="5"/>
  <c r="V35" i="5"/>
  <c r="T35" i="5"/>
  <c r="W35" i="5"/>
  <c r="S35" i="5"/>
  <c r="U35" i="5"/>
  <c r="V37" i="5"/>
  <c r="T37" i="5"/>
  <c r="S37" i="5"/>
  <c r="U37" i="5"/>
  <c r="W37" i="5"/>
  <c r="V39" i="5"/>
  <c r="T39" i="5"/>
  <c r="S39" i="5"/>
  <c r="W39" i="5"/>
  <c r="U39" i="5"/>
  <c r="V41" i="5"/>
  <c r="T41" i="5"/>
  <c r="S41" i="5"/>
  <c r="W41" i="5"/>
  <c r="U41" i="5"/>
  <c r="V43" i="5"/>
  <c r="T43" i="5"/>
  <c r="S43" i="5"/>
  <c r="U43" i="5"/>
  <c r="W43" i="5"/>
  <c r="V45" i="5"/>
  <c r="T45" i="5"/>
  <c r="S45" i="5"/>
  <c r="W45" i="5"/>
  <c r="U45" i="5"/>
  <c r="W47" i="5"/>
  <c r="V47" i="5"/>
  <c r="T47" i="5"/>
  <c r="S47" i="5"/>
  <c r="U47" i="5"/>
  <c r="W49" i="5"/>
  <c r="V49" i="5"/>
  <c r="T49" i="5"/>
  <c r="S49" i="5"/>
  <c r="U49" i="5"/>
  <c r="W51" i="5"/>
  <c r="V51" i="5"/>
  <c r="T51" i="5"/>
  <c r="S51" i="5"/>
  <c r="U51" i="5"/>
  <c r="T16" i="5"/>
  <c r="V16" i="5"/>
  <c r="S16" i="5"/>
  <c r="W16" i="5"/>
  <c r="U16" i="5"/>
  <c r="L216" i="3"/>
  <c r="J216" i="3"/>
  <c r="K216" i="3"/>
  <c r="L213" i="3"/>
  <c r="J213" i="3"/>
  <c r="K213" i="3"/>
  <c r="L210" i="3"/>
  <c r="J210" i="3"/>
  <c r="K210" i="3"/>
  <c r="G196" i="3"/>
  <c r="L184" i="3"/>
  <c r="I195" i="3"/>
  <c r="J184" i="3"/>
  <c r="K184" i="3"/>
  <c r="E194" i="3"/>
  <c r="G193" i="3"/>
  <c r="I192" i="3"/>
  <c r="L181" i="3"/>
  <c r="J181" i="3"/>
  <c r="K181" i="3"/>
  <c r="E191" i="3"/>
  <c r="G190" i="3"/>
  <c r="L178" i="3"/>
  <c r="I189" i="3"/>
  <c r="J178" i="3"/>
  <c r="K178" i="3"/>
  <c r="E188" i="3"/>
  <c r="G187" i="3"/>
  <c r="I186" i="3"/>
  <c r="L175" i="3"/>
  <c r="J175" i="3"/>
  <c r="K175" i="3"/>
  <c r="L172" i="3"/>
  <c r="J172" i="3"/>
  <c r="K172" i="3"/>
  <c r="L169" i="3"/>
  <c r="J169" i="3"/>
  <c r="K169" i="3"/>
  <c r="K166" i="3"/>
  <c r="L166" i="3"/>
  <c r="J166" i="3"/>
  <c r="L163" i="3"/>
  <c r="J163" i="3"/>
  <c r="K163" i="3"/>
  <c r="L160" i="3"/>
  <c r="J160" i="3"/>
  <c r="K160" i="3"/>
  <c r="L157" i="3"/>
  <c r="J157" i="3"/>
  <c r="K157" i="3"/>
  <c r="L154" i="3"/>
  <c r="J154" i="3"/>
  <c r="K154" i="3"/>
  <c r="L145" i="3"/>
  <c r="J145" i="3"/>
  <c r="K145" i="3"/>
  <c r="K142" i="3"/>
  <c r="L142" i="3"/>
  <c r="J142" i="3"/>
  <c r="L139" i="3"/>
  <c r="J139" i="3"/>
  <c r="K139" i="3"/>
  <c r="L136" i="3"/>
  <c r="J136" i="3"/>
  <c r="K136" i="3"/>
  <c r="E123" i="3"/>
  <c r="G122" i="3"/>
  <c r="L110" i="3"/>
  <c r="J110" i="3"/>
  <c r="I121" i="3"/>
  <c r="K110" i="3"/>
  <c r="E120" i="3"/>
  <c r="G119" i="3"/>
  <c r="K107" i="3"/>
  <c r="L107" i="3"/>
  <c r="J107" i="3"/>
  <c r="I118" i="3"/>
  <c r="E117" i="3"/>
  <c r="G116" i="3"/>
  <c r="L104" i="3"/>
  <c r="J104" i="3"/>
  <c r="I115" i="3"/>
  <c r="K104" i="3"/>
  <c r="E114" i="3"/>
  <c r="G113" i="3"/>
  <c r="L101" i="3"/>
  <c r="J101" i="3"/>
  <c r="K101" i="3"/>
  <c r="L98" i="3"/>
  <c r="J98" i="3"/>
  <c r="K98" i="3"/>
  <c r="L95" i="3"/>
  <c r="J95" i="3"/>
  <c r="K95" i="3"/>
  <c r="K92" i="3"/>
  <c r="L92" i="3"/>
  <c r="J92" i="3"/>
  <c r="L89" i="3"/>
  <c r="J89" i="3"/>
  <c r="K89" i="3"/>
  <c r="L86" i="3"/>
  <c r="J86" i="3"/>
  <c r="K86" i="3"/>
  <c r="L83" i="3"/>
  <c r="J83" i="3"/>
  <c r="K83" i="3"/>
  <c r="L80" i="3"/>
  <c r="J80" i="3"/>
  <c r="K80" i="3"/>
  <c r="L71" i="3"/>
  <c r="J71" i="3"/>
  <c r="K71" i="3"/>
  <c r="L68" i="3"/>
  <c r="J68" i="3"/>
  <c r="K68" i="3"/>
  <c r="L65" i="3"/>
  <c r="J65" i="3"/>
  <c r="K65" i="3"/>
  <c r="L62" i="3"/>
  <c r="J62" i="3"/>
  <c r="K62" i="3"/>
  <c r="K56" i="3"/>
  <c r="J56" i="3"/>
  <c r="K50" i="3"/>
  <c r="J50" i="3"/>
  <c r="J44" i="3"/>
  <c r="K44" i="3"/>
  <c r="L39" i="3"/>
  <c r="J39" i="3"/>
  <c r="K39" i="3"/>
  <c r="L36" i="3"/>
  <c r="J36" i="3"/>
  <c r="K36" i="3"/>
  <c r="K33" i="3"/>
  <c r="L33" i="3"/>
  <c r="J33" i="3"/>
  <c r="K30" i="3"/>
  <c r="L30" i="3"/>
  <c r="J30" i="3"/>
  <c r="L27" i="3"/>
  <c r="J27" i="3"/>
  <c r="K27" i="3"/>
  <c r="K24" i="3"/>
  <c r="L24" i="3"/>
  <c r="J24" i="3"/>
  <c r="L21" i="3"/>
  <c r="J21" i="3"/>
  <c r="K21" i="3"/>
  <c r="L18" i="3"/>
  <c r="J18" i="3"/>
  <c r="K18" i="3"/>
  <c r="L15" i="3"/>
  <c r="J15" i="3"/>
  <c r="K15" i="3"/>
  <c r="L12" i="3"/>
  <c r="J12" i="3"/>
  <c r="K12" i="3"/>
  <c r="K9" i="3"/>
  <c r="L9" i="3"/>
  <c r="J9" i="3"/>
  <c r="K73" i="2"/>
  <c r="L73" i="2"/>
  <c r="J73" i="2"/>
  <c r="G69" i="2"/>
  <c r="L65" i="2"/>
  <c r="J65" i="2"/>
  <c r="K65" i="2"/>
  <c r="I68" i="2"/>
  <c r="L62" i="2"/>
  <c r="J62" i="2"/>
  <c r="K62" i="2"/>
  <c r="K59" i="2"/>
  <c r="L59" i="2"/>
  <c r="J59" i="2"/>
  <c r="H43" i="2"/>
  <c r="K43" i="2" s="1"/>
  <c r="F69" i="2"/>
  <c r="G43" i="2"/>
  <c r="K16" i="2"/>
  <c r="J16" i="2"/>
  <c r="K10" i="2"/>
  <c r="J10" i="2"/>
  <c r="L10" i="2"/>
  <c r="K21" i="2"/>
  <c r="J21" i="2"/>
  <c r="M42" i="5"/>
  <c r="K42" i="5"/>
  <c r="J42" i="5"/>
  <c r="I42" i="5"/>
  <c r="L42" i="5"/>
  <c r="J12" i="5"/>
  <c r="I12" i="5"/>
  <c r="M12" i="5"/>
  <c r="L12" i="5"/>
  <c r="K12" i="5"/>
  <c r="J8" i="5"/>
  <c r="I8" i="5"/>
  <c r="M8" i="5"/>
  <c r="L8" i="5"/>
  <c r="K8" i="5"/>
  <c r="K217" i="3"/>
  <c r="J217" i="3"/>
  <c r="L217" i="3"/>
  <c r="K170" i="3"/>
  <c r="J170" i="3"/>
  <c r="L170" i="3"/>
  <c r="K161" i="3"/>
  <c r="J161" i="3"/>
  <c r="L161" i="3"/>
  <c r="J19" i="6"/>
  <c r="I19" i="6"/>
  <c r="K19" i="6"/>
  <c r="J9" i="6"/>
  <c r="I9" i="6"/>
  <c r="K9" i="6"/>
  <c r="J15" i="6"/>
  <c r="I15" i="6"/>
  <c r="K15" i="6"/>
  <c r="J22" i="6"/>
  <c r="I22" i="6"/>
  <c r="K22" i="6"/>
  <c r="J28" i="6"/>
  <c r="I28" i="6"/>
  <c r="K28" i="6"/>
  <c r="J34" i="6"/>
  <c r="I34" i="6"/>
  <c r="K34" i="6"/>
  <c r="J40" i="6"/>
  <c r="I40" i="6"/>
  <c r="K40" i="6"/>
  <c r="J46" i="6"/>
  <c r="I46" i="6"/>
  <c r="K46" i="6"/>
  <c r="J52" i="6"/>
  <c r="I52" i="6"/>
  <c r="K52" i="6"/>
  <c r="K8" i="6"/>
  <c r="I8" i="6"/>
  <c r="J8" i="6"/>
  <c r="K14" i="6"/>
  <c r="I14" i="6"/>
  <c r="J14" i="6"/>
  <c r="K21" i="6"/>
  <c r="I21" i="6"/>
  <c r="J21" i="6"/>
  <c r="K27" i="6"/>
  <c r="I27" i="6"/>
  <c r="J27" i="6"/>
  <c r="K33" i="6"/>
  <c r="I33" i="6"/>
  <c r="J33" i="6"/>
  <c r="K39" i="6"/>
  <c r="I39" i="6"/>
  <c r="J39" i="6"/>
  <c r="K45" i="6"/>
  <c r="I45" i="6"/>
  <c r="J45" i="6"/>
  <c r="K51" i="6"/>
  <c r="I51" i="6"/>
  <c r="J51" i="6"/>
  <c r="K7" i="6"/>
  <c r="J7" i="6"/>
  <c r="I7" i="6"/>
  <c r="K13" i="6"/>
  <c r="J13" i="6"/>
  <c r="I13" i="6"/>
  <c r="K20" i="6"/>
  <c r="J20" i="6"/>
  <c r="I20" i="6"/>
  <c r="K26" i="6"/>
  <c r="J26" i="6"/>
  <c r="I26" i="6"/>
  <c r="K32" i="6"/>
  <c r="J32" i="6"/>
  <c r="I32" i="6"/>
  <c r="K38" i="6"/>
  <c r="J38" i="6"/>
  <c r="I38" i="6"/>
  <c r="K44" i="6"/>
  <c r="J44" i="6"/>
  <c r="I44" i="6"/>
  <c r="K50" i="6"/>
  <c r="J50" i="6"/>
  <c r="I50" i="6"/>
  <c r="I11" i="6"/>
  <c r="K11" i="6"/>
  <c r="J11" i="6"/>
  <c r="I18" i="6"/>
  <c r="K18" i="6"/>
  <c r="J18" i="6"/>
  <c r="I24" i="6"/>
  <c r="K24" i="6"/>
  <c r="J24" i="6"/>
  <c r="I30" i="6"/>
  <c r="K30" i="6"/>
  <c r="J30" i="6"/>
  <c r="I36" i="6"/>
  <c r="K36" i="6"/>
  <c r="J36" i="6"/>
  <c r="I42" i="6"/>
  <c r="K42" i="6"/>
  <c r="J42" i="6"/>
  <c r="I48" i="6"/>
  <c r="K48" i="6"/>
  <c r="J48" i="6"/>
  <c r="K10" i="6"/>
  <c r="J10" i="6"/>
  <c r="I10" i="6"/>
  <c r="K16" i="6"/>
  <c r="J16" i="6"/>
  <c r="I16" i="6"/>
  <c r="K17" i="6"/>
  <c r="J17" i="6"/>
  <c r="I17" i="6"/>
  <c r="K23" i="6"/>
  <c r="J23" i="6"/>
  <c r="I23" i="6"/>
  <c r="K29" i="6"/>
  <c r="J29" i="6"/>
  <c r="I29" i="6"/>
  <c r="K35" i="6"/>
  <c r="J35" i="6"/>
  <c r="I35" i="6"/>
  <c r="K41" i="6"/>
  <c r="J41" i="6"/>
  <c r="I41" i="6"/>
  <c r="K47" i="6"/>
  <c r="J47" i="6"/>
  <c r="I47" i="6"/>
  <c r="M13" i="5"/>
  <c r="L13" i="5"/>
  <c r="J13" i="5"/>
  <c r="I13" i="5"/>
  <c r="K13" i="5"/>
  <c r="M11" i="5"/>
  <c r="L11" i="5"/>
  <c r="J11" i="5"/>
  <c r="I11" i="5"/>
  <c r="K11" i="5"/>
  <c r="M9" i="5"/>
  <c r="L9" i="5"/>
  <c r="J9" i="5"/>
  <c r="I9" i="5"/>
  <c r="K9" i="5"/>
  <c r="M7" i="5"/>
  <c r="L7" i="5"/>
  <c r="J7" i="5"/>
  <c r="I7" i="5"/>
  <c r="K7" i="5"/>
  <c r="F196" i="3"/>
  <c r="H195" i="3"/>
  <c r="F193" i="3"/>
  <c r="H192" i="3"/>
  <c r="F190" i="3"/>
  <c r="H189" i="3"/>
  <c r="F187" i="3"/>
  <c r="H186" i="3"/>
  <c r="F122" i="3"/>
  <c r="F119" i="3"/>
  <c r="F116" i="3"/>
  <c r="F113" i="3"/>
  <c r="K22" i="2"/>
  <c r="J22" i="2"/>
  <c r="L22" i="2"/>
  <c r="K13" i="2"/>
  <c r="J13" i="2"/>
  <c r="L13" i="2"/>
  <c r="L7" i="2"/>
  <c r="K7" i="2"/>
  <c r="J7" i="2"/>
  <c r="H108" i="10"/>
  <c r="H107" i="10"/>
  <c r="H96" i="10"/>
  <c r="E95" i="10"/>
  <c r="H109" i="10"/>
  <c r="H105" i="10"/>
  <c r="H102" i="10"/>
  <c r="H99" i="10"/>
  <c r="H104" i="10"/>
  <c r="H101" i="10"/>
  <c r="H98" i="10"/>
  <c r="H106" i="10"/>
  <c r="H103" i="10"/>
  <c r="H100" i="10"/>
  <c r="H97" i="10"/>
  <c r="J10" i="5"/>
  <c r="I10" i="5"/>
  <c r="M10" i="5"/>
  <c r="L10" i="5"/>
  <c r="K10" i="5"/>
  <c r="K211" i="3"/>
  <c r="J211" i="3"/>
  <c r="L211" i="3"/>
  <c r="G114" i="3"/>
  <c r="N16" i="45"/>
  <c r="L16" i="45"/>
  <c r="M16" i="45"/>
  <c r="T16" i="45"/>
  <c r="Q16" i="45"/>
  <c r="P16" i="45"/>
  <c r="S16" i="45"/>
  <c r="R16" i="45"/>
  <c r="H16" i="45"/>
  <c r="J16" i="45"/>
  <c r="I16" i="45"/>
  <c r="I146" i="44"/>
  <c r="G146" i="44"/>
  <c r="H146" i="44"/>
  <c r="K146" i="44" s="1"/>
  <c r="N16" i="44"/>
  <c r="L16" i="44"/>
  <c r="M16" i="44"/>
  <c r="H16" i="44"/>
  <c r="I16" i="44"/>
  <c r="J16" i="44"/>
  <c r="I146" i="45"/>
  <c r="G146" i="45"/>
  <c r="H146" i="45"/>
  <c r="K146" i="45" s="1"/>
  <c r="Q16" i="44"/>
  <c r="T16" i="44"/>
  <c r="R16" i="44"/>
  <c r="S16" i="44"/>
  <c r="P16" i="44"/>
  <c r="T11" i="39"/>
  <c r="S11" i="39"/>
  <c r="Q11" i="39"/>
  <c r="P11" i="39"/>
  <c r="O11" i="39"/>
  <c r="R11" i="39"/>
  <c r="M11" i="39"/>
  <c r="K11" i="39"/>
  <c r="L11" i="39"/>
  <c r="I129" i="39"/>
  <c r="H129" i="39"/>
  <c r="G129" i="39"/>
  <c r="H11" i="39"/>
  <c r="G11" i="39"/>
  <c r="I11" i="39"/>
  <c r="K20" i="27"/>
  <c r="I20" i="27"/>
  <c r="J20" i="27"/>
  <c r="L62" i="28"/>
  <c r="K62" i="28"/>
  <c r="I62" i="28"/>
  <c r="M62" i="28"/>
  <c r="J62" i="28"/>
  <c r="L146" i="28"/>
  <c r="K146" i="28"/>
  <c r="I146" i="28"/>
  <c r="M146" i="28"/>
  <c r="J146" i="28"/>
  <c r="J118" i="26"/>
  <c r="I118" i="26"/>
  <c r="K118" i="26"/>
  <c r="J20" i="26"/>
  <c r="I20" i="26"/>
  <c r="K20" i="26"/>
  <c r="L35" i="22"/>
  <c r="K35" i="22"/>
  <c r="J35" i="22"/>
  <c r="K133" i="22"/>
  <c r="L133" i="22"/>
  <c r="J133" i="22"/>
  <c r="J62" i="26"/>
  <c r="I62" i="26"/>
  <c r="K62" i="26"/>
  <c r="I50" i="21"/>
  <c r="H50" i="21"/>
  <c r="K49" i="22"/>
  <c r="J49" i="22"/>
  <c r="L49" i="22"/>
  <c r="H106" i="21"/>
  <c r="I106" i="21"/>
  <c r="H147" i="19"/>
  <c r="J147" i="19"/>
  <c r="H51" i="19"/>
  <c r="J51" i="19"/>
  <c r="H135" i="19"/>
  <c r="J135" i="19"/>
  <c r="H105" i="19"/>
  <c r="J105" i="19"/>
  <c r="H63" i="19"/>
  <c r="J63" i="19"/>
  <c r="J163" i="14"/>
  <c r="I163" i="14"/>
  <c r="J121" i="14"/>
  <c r="I121" i="14"/>
  <c r="J79" i="14"/>
  <c r="I79" i="14"/>
  <c r="J149" i="14"/>
  <c r="I149" i="14"/>
  <c r="J107" i="14"/>
  <c r="I107" i="14"/>
  <c r="J65" i="14"/>
  <c r="I65" i="14"/>
  <c r="X118" i="18"/>
  <c r="Y118" i="18"/>
  <c r="I8" i="18"/>
  <c r="J8" i="18"/>
  <c r="Q134" i="18"/>
  <c r="R134" i="18"/>
  <c r="H93" i="19"/>
  <c r="J93" i="19"/>
  <c r="X148" i="18"/>
  <c r="Y148" i="18"/>
  <c r="I62" i="18"/>
  <c r="J62" i="18"/>
  <c r="Q36" i="18"/>
  <c r="R36" i="18"/>
  <c r="I93" i="14"/>
  <c r="J93" i="14"/>
  <c r="X50" i="18"/>
  <c r="Y50" i="18"/>
  <c r="I51" i="14"/>
  <c r="J51" i="14"/>
  <c r="I135" i="14"/>
  <c r="J135" i="14"/>
  <c r="J37" i="14"/>
  <c r="I37" i="14"/>
  <c r="X20" i="18"/>
  <c r="Y20" i="18"/>
  <c r="J118" i="13"/>
  <c r="I118" i="13"/>
  <c r="K118" i="13"/>
  <c r="J62" i="13"/>
  <c r="I62" i="13"/>
  <c r="K62" i="13"/>
  <c r="J20" i="13"/>
  <c r="I20" i="13"/>
  <c r="K20" i="13"/>
  <c r="K69" i="2"/>
  <c r="L69" i="2"/>
  <c r="J69" i="2"/>
  <c r="L72" i="2"/>
  <c r="K72" i="2"/>
  <c r="J72" i="2"/>
  <c r="J44" i="2"/>
  <c r="K44" i="2"/>
  <c r="J146" i="13"/>
  <c r="I146" i="13"/>
  <c r="K146" i="13"/>
  <c r="J90" i="13"/>
  <c r="I90" i="13"/>
  <c r="K90" i="13"/>
  <c r="J34" i="13"/>
  <c r="I34" i="13"/>
  <c r="K34" i="13"/>
  <c r="L55" i="12"/>
  <c r="J55" i="12"/>
  <c r="I55" i="12"/>
  <c r="K55" i="12"/>
  <c r="K46" i="2"/>
  <c r="J46" i="2"/>
  <c r="K133" i="3"/>
  <c r="J133" i="3"/>
  <c r="J122" i="3"/>
  <c r="K122" i="3"/>
  <c r="K127" i="3"/>
  <c r="J127" i="3"/>
  <c r="J116" i="3"/>
  <c r="K116" i="3"/>
  <c r="J23" i="14"/>
  <c r="I23" i="14"/>
  <c r="K45" i="2"/>
  <c r="J45" i="2"/>
  <c r="K42" i="2"/>
  <c r="J42" i="2"/>
  <c r="K130" i="3"/>
  <c r="J130" i="3"/>
  <c r="K119" i="3"/>
  <c r="J119" i="3"/>
  <c r="K124" i="3"/>
  <c r="J124" i="3"/>
  <c r="J113" i="3"/>
  <c r="K113" i="3"/>
  <c r="J43" i="2" l="1"/>
  <c r="K159" i="16"/>
  <c r="K155" i="16"/>
  <c r="K123" i="16"/>
  <c r="K116" i="16"/>
  <c r="K112" i="16"/>
  <c r="K80" i="16"/>
  <c r="K158" i="16"/>
  <c r="K154" i="16"/>
  <c r="K122" i="16"/>
  <c r="K115" i="16"/>
  <c r="K83" i="16"/>
  <c r="K61" i="16"/>
  <c r="K57" i="16"/>
  <c r="K25" i="16"/>
  <c r="K19" i="16"/>
  <c r="K17" i="16"/>
  <c r="K15" i="16"/>
  <c r="K13" i="16"/>
  <c r="K73" i="16"/>
  <c r="K69" i="16"/>
  <c r="K41" i="16"/>
  <c r="K34" i="16"/>
  <c r="K30" i="16"/>
  <c r="K26" i="16"/>
  <c r="K150" i="17"/>
  <c r="K143" i="17"/>
  <c r="K139" i="17"/>
  <c r="K104" i="17"/>
  <c r="K57" i="17"/>
  <c r="K129" i="17"/>
  <c r="K125" i="17"/>
  <c r="K71" i="17"/>
  <c r="K28" i="17"/>
  <c r="Y60" i="18"/>
  <c r="Y67" i="18"/>
  <c r="Y70" i="18"/>
  <c r="Y152" i="18"/>
  <c r="Y24" i="18"/>
  <c r="Y30" i="18"/>
  <c r="J54" i="19"/>
  <c r="K151" i="16"/>
  <c r="K144" i="16"/>
  <c r="K140" i="16"/>
  <c r="K108" i="16"/>
  <c r="K101" i="16"/>
  <c r="K97" i="16"/>
  <c r="K150" i="16"/>
  <c r="K143" i="16"/>
  <c r="K111" i="16"/>
  <c r="K104" i="16"/>
  <c r="K100" i="16"/>
  <c r="K96" i="16"/>
  <c r="K53" i="16"/>
  <c r="K46" i="16"/>
  <c r="K42" i="16"/>
  <c r="K11" i="16"/>
  <c r="K62" i="16"/>
  <c r="K58" i="16"/>
  <c r="K54" i="16"/>
  <c r="K132" i="17"/>
  <c r="K128" i="17"/>
  <c r="K124" i="17"/>
  <c r="K68" i="17"/>
  <c r="K61" i="17"/>
  <c r="K136" i="17"/>
  <c r="K82" i="17"/>
  <c r="K75" i="17"/>
  <c r="Y28" i="18"/>
  <c r="Y53" i="18"/>
  <c r="Y59" i="18"/>
  <c r="Y101" i="18"/>
  <c r="Y96" i="18"/>
  <c r="Y111" i="18"/>
  <c r="Y138" i="18"/>
  <c r="Y87" i="18"/>
  <c r="J34" i="19"/>
  <c r="J44" i="19"/>
  <c r="J157" i="19"/>
  <c r="J146" i="19"/>
  <c r="K54" i="17"/>
  <c r="K58" i="17"/>
  <c r="K62" i="17"/>
  <c r="K69" i="17"/>
  <c r="K101" i="17"/>
  <c r="K108" i="17"/>
  <c r="K140" i="17"/>
  <c r="K144" i="17"/>
  <c r="K151" i="17"/>
  <c r="K14" i="17"/>
  <c r="K16" i="17"/>
  <c r="K18" i="17"/>
  <c r="K20" i="17"/>
  <c r="K40" i="17"/>
  <c r="K44" i="17"/>
  <c r="K48" i="17"/>
  <c r="K83" i="17"/>
  <c r="K87" i="17"/>
  <c r="K94" i="17"/>
  <c r="K26" i="17"/>
  <c r="K30" i="17"/>
  <c r="K34" i="17"/>
  <c r="K41" i="17"/>
  <c r="K73" i="17"/>
  <c r="K80" i="17"/>
  <c r="K112" i="17"/>
  <c r="K116" i="17"/>
  <c r="K123" i="17"/>
  <c r="K155" i="17"/>
  <c r="K159" i="17"/>
  <c r="K55" i="17"/>
  <c r="K59" i="17"/>
  <c r="K66" i="17"/>
  <c r="K98" i="17"/>
  <c r="K102" i="17"/>
  <c r="K45" i="17"/>
  <c r="K52" i="17"/>
  <c r="K84" i="17"/>
  <c r="K88" i="17"/>
  <c r="K95" i="17"/>
  <c r="K127" i="17"/>
  <c r="K131" i="17"/>
  <c r="K11" i="17"/>
  <c r="K27" i="17"/>
  <c r="K31" i="17"/>
  <c r="K38" i="17"/>
  <c r="K70" i="17"/>
  <c r="K74" i="17"/>
  <c r="K81" i="17"/>
  <c r="K24" i="17"/>
  <c r="K56" i="17"/>
  <c r="K60" i="17"/>
  <c r="K67" i="17"/>
  <c r="K99" i="17"/>
  <c r="K103" i="17"/>
  <c r="K138" i="17"/>
  <c r="K142" i="17"/>
  <c r="K146" i="17"/>
  <c r="K153" i="17"/>
  <c r="K13" i="17"/>
  <c r="K15" i="17"/>
  <c r="K17" i="17"/>
  <c r="K19" i="17"/>
  <c r="K42" i="17"/>
  <c r="K46" i="17"/>
  <c r="K53" i="17"/>
  <c r="K85" i="17"/>
  <c r="K89" i="17"/>
  <c r="K118" i="17"/>
  <c r="K138" i="43"/>
  <c r="K136" i="16"/>
  <c r="K129" i="16"/>
  <c r="K125" i="16"/>
  <c r="K90" i="16"/>
  <c r="K86" i="16"/>
  <c r="K82" i="16"/>
  <c r="K139" i="16"/>
  <c r="K132" i="16"/>
  <c r="K128" i="16"/>
  <c r="K124" i="16"/>
  <c r="K89" i="16"/>
  <c r="K85" i="16"/>
  <c r="K74" i="16"/>
  <c r="K70" i="16"/>
  <c r="K38" i="16"/>
  <c r="K31" i="16"/>
  <c r="K27" i="16"/>
  <c r="K47" i="16"/>
  <c r="K43" i="16"/>
  <c r="K160" i="17"/>
  <c r="K156" i="17"/>
  <c r="K152" i="17"/>
  <c r="K117" i="17"/>
  <c r="K113" i="17"/>
  <c r="K72" i="17"/>
  <c r="K29" i="17"/>
  <c r="K25" i="17"/>
  <c r="K86" i="17"/>
  <c r="K43" i="17"/>
  <c r="K39" i="17"/>
  <c r="Y154" i="18"/>
  <c r="Y130" i="18"/>
  <c r="Y66" i="18"/>
  <c r="Y73" i="18"/>
  <c r="Y155" i="18"/>
  <c r="J32" i="19"/>
  <c r="J42" i="19"/>
  <c r="J151" i="19"/>
  <c r="J140" i="19"/>
  <c r="K52" i="16"/>
  <c r="K45" i="16"/>
  <c r="K157" i="16"/>
  <c r="K153" i="16"/>
  <c r="K118" i="16"/>
  <c r="K114" i="16"/>
  <c r="K110" i="16"/>
  <c r="K160" i="16"/>
  <c r="K156" i="16"/>
  <c r="K152" i="16"/>
  <c r="K117" i="16"/>
  <c r="K113" i="16"/>
  <c r="K81" i="16"/>
  <c r="K66" i="16"/>
  <c r="K59" i="16"/>
  <c r="K55" i="16"/>
  <c r="K20" i="16"/>
  <c r="K18" i="16"/>
  <c r="K16" i="16"/>
  <c r="K14" i="16"/>
  <c r="K75" i="16"/>
  <c r="K71" i="16"/>
  <c r="K39" i="16"/>
  <c r="K32" i="16"/>
  <c r="K28" i="16"/>
  <c r="W13" i="16"/>
  <c r="W15" i="16"/>
  <c r="W17" i="16"/>
  <c r="K145" i="17"/>
  <c r="K141" i="17"/>
  <c r="K109" i="17"/>
  <c r="K76" i="17"/>
  <c r="K33" i="17"/>
  <c r="K110" i="17"/>
  <c r="K90" i="17"/>
  <c r="K47" i="17"/>
  <c r="Y27" i="18"/>
  <c r="Y33" i="18"/>
  <c r="Y121" i="18"/>
  <c r="Y115" i="18"/>
  <c r="Y157" i="18"/>
  <c r="Y93" i="18"/>
  <c r="Y107" i="18"/>
  <c r="Y116" i="18"/>
  <c r="J10" i="19"/>
  <c r="J12" i="19"/>
  <c r="J30" i="19"/>
  <c r="J76" i="19"/>
  <c r="J83" i="19"/>
  <c r="J141" i="19"/>
  <c r="K146" i="16"/>
  <c r="K142" i="16"/>
  <c r="K138" i="16"/>
  <c r="K103" i="16"/>
  <c r="K99" i="16"/>
  <c r="K145" i="16"/>
  <c r="K141" i="16"/>
  <c r="K109" i="16"/>
  <c r="K102" i="16"/>
  <c r="K98" i="16"/>
  <c r="K48" i="16"/>
  <c r="K44" i="16"/>
  <c r="K40" i="16"/>
  <c r="K12" i="16"/>
  <c r="K10" i="16"/>
  <c r="K67" i="16"/>
  <c r="K60" i="16"/>
  <c r="K56" i="16"/>
  <c r="K137" i="17"/>
  <c r="K130" i="17"/>
  <c r="K126" i="17"/>
  <c r="K96" i="17"/>
  <c r="K10" i="17"/>
  <c r="K157" i="17"/>
  <c r="K114" i="17"/>
  <c r="K97" i="17"/>
  <c r="Y31" i="18"/>
  <c r="Y123" i="18"/>
  <c r="Y18" i="18"/>
  <c r="Y57" i="18"/>
  <c r="Y44" i="18"/>
  <c r="Y51" i="18"/>
  <c r="Y149" i="18"/>
  <c r="Y71" i="18"/>
  <c r="Y10" i="18"/>
  <c r="Y38" i="18"/>
  <c r="Y14" i="18"/>
  <c r="Y12" i="18"/>
  <c r="Y25" i="18"/>
  <c r="Y110" i="18"/>
  <c r="Y142" i="18"/>
  <c r="Y37" i="18"/>
  <c r="Y139" i="18"/>
  <c r="Y80" i="18"/>
  <c r="Y144" i="18"/>
  <c r="Y85" i="18"/>
  <c r="Y117" i="18"/>
  <c r="Y83" i="18"/>
  <c r="Y135" i="18"/>
  <c r="Y69" i="18"/>
  <c r="Y88" i="18"/>
  <c r="Y108" i="18"/>
  <c r="Y84" i="18"/>
  <c r="Y47" i="18"/>
  <c r="Y41" i="18"/>
  <c r="Y32" i="18"/>
  <c r="Y26" i="18"/>
  <c r="Y74" i="18"/>
  <c r="Y94" i="18"/>
  <c r="Y158" i="18"/>
  <c r="Y99" i="18"/>
  <c r="Y131" i="18"/>
  <c r="Y72" i="18"/>
  <c r="Y137" i="18"/>
  <c r="Y156" i="18"/>
  <c r="Y102" i="18"/>
  <c r="Y122" i="18"/>
  <c r="Y75" i="18"/>
  <c r="Y127" i="18"/>
  <c r="Y159" i="18"/>
  <c r="Y15" i="18"/>
  <c r="Y97" i="18"/>
  <c r="Y42" i="18"/>
  <c r="Y56" i="18"/>
  <c r="Y113" i="18"/>
  <c r="Y145" i="18"/>
  <c r="Y86" i="18"/>
  <c r="Y151" i="18"/>
  <c r="Y98" i="18"/>
  <c r="Y124" i="18"/>
  <c r="Y89" i="18"/>
  <c r="Y141" i="18"/>
  <c r="Y95" i="18"/>
  <c r="Y114" i="18"/>
  <c r="Y46" i="18"/>
  <c r="Y9" i="18"/>
  <c r="Y61" i="18"/>
  <c r="Y55" i="18"/>
  <c r="Y17" i="18"/>
  <c r="Y11" i="18"/>
  <c r="Y45" i="18"/>
  <c r="Y39" i="18"/>
  <c r="Y19" i="18"/>
  <c r="Y13" i="18"/>
  <c r="Y81" i="18"/>
  <c r="Y100" i="18"/>
  <c r="Y112" i="18"/>
  <c r="Y79" i="18"/>
  <c r="Y143" i="18"/>
  <c r="Y109" i="18"/>
  <c r="Y128" i="18"/>
  <c r="Y82" i="18"/>
  <c r="Y140" i="18"/>
  <c r="Y40" i="18"/>
  <c r="Y153" i="18"/>
  <c r="Y150" i="18"/>
  <c r="Y65" i="18"/>
  <c r="Y23" i="18"/>
  <c r="Y29" i="18"/>
  <c r="J159" i="19"/>
  <c r="J155" i="19"/>
  <c r="J47" i="19"/>
  <c r="J94" i="19"/>
  <c r="J74" i="19"/>
  <c r="J132" i="19"/>
  <c r="J55" i="19"/>
  <c r="J48" i="19"/>
  <c r="J68" i="19"/>
  <c r="J97" i="19"/>
  <c r="J152" i="19"/>
  <c r="J113" i="19"/>
  <c r="J126" i="19"/>
  <c r="J61" i="19"/>
  <c r="J81" i="19"/>
  <c r="J100" i="19"/>
  <c r="J129" i="19"/>
  <c r="J145" i="19"/>
  <c r="J158" i="19"/>
  <c r="J103" i="19"/>
  <c r="J58" i="19"/>
  <c r="J87" i="19"/>
  <c r="J52" i="19"/>
  <c r="J123" i="19"/>
  <c r="J84" i="19"/>
  <c r="J142" i="19"/>
  <c r="J116" i="19"/>
  <c r="J136" i="19"/>
  <c r="J71" i="19"/>
  <c r="J90" i="19"/>
  <c r="J110" i="19"/>
  <c r="J139" i="19"/>
  <c r="J150" i="19"/>
  <c r="J101" i="19"/>
  <c r="J95" i="19"/>
  <c r="J85" i="19"/>
  <c r="J75" i="19"/>
  <c r="J69" i="19"/>
  <c r="J118" i="19"/>
  <c r="J112" i="19"/>
  <c r="J102" i="19"/>
  <c r="J96" i="19"/>
  <c r="J86" i="19"/>
  <c r="J40" i="19"/>
  <c r="J24" i="19"/>
  <c r="J19" i="19"/>
  <c r="J17" i="19"/>
  <c r="J15" i="19"/>
  <c r="J143" i="19"/>
  <c r="J137" i="19"/>
  <c r="J127" i="19"/>
  <c r="J117" i="19"/>
  <c r="J111" i="19"/>
  <c r="J46" i="19"/>
  <c r="J160" i="19"/>
  <c r="J154" i="19"/>
  <c r="J144" i="19"/>
  <c r="J138" i="19"/>
  <c r="J128" i="19"/>
  <c r="J38" i="19"/>
  <c r="J33" i="19"/>
  <c r="J31" i="19"/>
  <c r="J29" i="19"/>
  <c r="J13" i="19"/>
  <c r="J11" i="19"/>
  <c r="J153" i="19"/>
  <c r="J62" i="19"/>
  <c r="J56" i="19"/>
  <c r="J80" i="19"/>
  <c r="J73" i="19"/>
  <c r="J67" i="19"/>
  <c r="J57" i="19"/>
  <c r="J45" i="19"/>
  <c r="J43" i="19"/>
  <c r="J27" i="19"/>
  <c r="J25" i="19"/>
  <c r="J104" i="19"/>
  <c r="J98" i="19"/>
  <c r="J88" i="19"/>
  <c r="J82" i="19"/>
  <c r="J72" i="19"/>
  <c r="J122" i="19"/>
  <c r="J115" i="19"/>
  <c r="J109" i="19"/>
  <c r="J99" i="19"/>
  <c r="J89" i="19"/>
  <c r="J41" i="19"/>
  <c r="J39" i="19"/>
  <c r="J20" i="19"/>
  <c r="J18" i="19"/>
  <c r="J16" i="19"/>
  <c r="J14" i="19"/>
  <c r="J26" i="19"/>
  <c r="J28" i="19"/>
  <c r="J70" i="19"/>
  <c r="J125" i="19"/>
  <c r="J131" i="19"/>
  <c r="J59" i="19"/>
  <c r="J66" i="19"/>
  <c r="J124" i="19"/>
  <c r="J156" i="19"/>
  <c r="D96" i="25"/>
  <c r="F96" i="25"/>
  <c r="K143" i="43"/>
  <c r="K142" i="43"/>
  <c r="H87" i="33"/>
  <c r="W14" i="17"/>
  <c r="W16" i="17"/>
  <c r="W18" i="17"/>
  <c r="W20" i="17"/>
  <c r="R31" i="18"/>
  <c r="R83" i="18"/>
  <c r="R122" i="18"/>
  <c r="R11" i="19"/>
  <c r="R27" i="19"/>
  <c r="R29" i="19"/>
  <c r="R31" i="19"/>
  <c r="R33" i="19"/>
  <c r="L87" i="33"/>
  <c r="K139" i="43"/>
  <c r="R70" i="18"/>
  <c r="R109" i="18"/>
  <c r="R141" i="18"/>
  <c r="R13" i="19"/>
  <c r="R15" i="19"/>
  <c r="R17" i="19"/>
  <c r="R19" i="19"/>
  <c r="R38" i="19"/>
  <c r="R40" i="19"/>
  <c r="K137" i="43"/>
  <c r="W11" i="17"/>
  <c r="R24" i="19"/>
  <c r="R26" i="19"/>
  <c r="R42" i="19"/>
  <c r="R44" i="19"/>
  <c r="R47" i="19"/>
  <c r="K140" i="43"/>
  <c r="K144" i="43"/>
  <c r="F52" i="25"/>
  <c r="W13" i="17"/>
  <c r="W15" i="17"/>
  <c r="W17" i="17"/>
  <c r="R56" i="18"/>
  <c r="R43" i="18"/>
  <c r="R154" i="18"/>
  <c r="R30" i="18"/>
  <c r="R17" i="18"/>
  <c r="R37" i="18"/>
  <c r="R135" i="18"/>
  <c r="R24" i="18"/>
  <c r="R11" i="18"/>
  <c r="R115" i="18"/>
  <c r="R15" i="18"/>
  <c r="R28" i="18"/>
  <c r="R102" i="18"/>
  <c r="R10" i="19"/>
  <c r="R12" i="19"/>
  <c r="R28" i="19"/>
  <c r="R30" i="19"/>
  <c r="R32" i="19"/>
  <c r="R34" i="19"/>
  <c r="H109" i="33"/>
  <c r="K145" i="43"/>
  <c r="K141" i="43"/>
  <c r="F74" i="25"/>
  <c r="F107" i="10"/>
  <c r="C95" i="10"/>
  <c r="D96" i="10" s="1"/>
  <c r="F109" i="10"/>
  <c r="F106" i="10"/>
  <c r="F105" i="10"/>
  <c r="F104" i="10"/>
  <c r="F103" i="10"/>
  <c r="F102" i="10"/>
  <c r="F101" i="10"/>
  <c r="F100" i="10"/>
  <c r="F99" i="10"/>
  <c r="F98" i="10"/>
  <c r="F97" i="10"/>
  <c r="F96" i="10"/>
  <c r="F108" i="10"/>
  <c r="K68" i="2"/>
  <c r="J68" i="2"/>
  <c r="J71" i="2"/>
  <c r="K71" i="2"/>
  <c r="K115" i="3"/>
  <c r="J115" i="3"/>
  <c r="K126" i="3"/>
  <c r="J126" i="3"/>
  <c r="K118" i="3"/>
  <c r="J118" i="3"/>
  <c r="K129" i="3"/>
  <c r="J129" i="3"/>
  <c r="K121" i="3"/>
  <c r="J121" i="3"/>
  <c r="K132" i="3"/>
  <c r="J132" i="3"/>
  <c r="J197" i="3"/>
  <c r="K197" i="3"/>
  <c r="K186" i="3"/>
  <c r="J186" i="3"/>
  <c r="J200" i="3"/>
  <c r="K200" i="3"/>
  <c r="J189" i="3"/>
  <c r="K189" i="3"/>
  <c r="J203" i="3"/>
  <c r="K203" i="3"/>
  <c r="K192" i="3"/>
  <c r="J192" i="3"/>
  <c r="J206" i="3"/>
  <c r="K206" i="3"/>
  <c r="K195" i="3"/>
  <c r="J195" i="3"/>
  <c r="J147" i="15"/>
  <c r="I147" i="15"/>
  <c r="M147" i="15"/>
  <c r="L147" i="15"/>
  <c r="K147" i="15"/>
  <c r="J63" i="15"/>
  <c r="I63" i="15"/>
  <c r="M63" i="15"/>
  <c r="L63" i="15"/>
  <c r="K63" i="15"/>
  <c r="J21" i="15"/>
  <c r="I21" i="15"/>
  <c r="M21" i="15"/>
  <c r="L21" i="15"/>
  <c r="K21" i="15"/>
  <c r="K161" i="15"/>
  <c r="J161" i="15"/>
  <c r="M161" i="15"/>
  <c r="L161" i="15"/>
  <c r="I161" i="15"/>
  <c r="K77" i="15"/>
  <c r="J77" i="15"/>
  <c r="M77" i="15"/>
  <c r="L77" i="15"/>
  <c r="I77" i="15"/>
  <c r="M105" i="15"/>
  <c r="L105" i="15"/>
  <c r="J105" i="15"/>
  <c r="I105" i="15"/>
  <c r="K105" i="15"/>
  <c r="M119" i="15"/>
  <c r="K119" i="15"/>
  <c r="J119" i="15"/>
  <c r="I119" i="15"/>
  <c r="L119" i="15"/>
  <c r="M35" i="15"/>
  <c r="K35" i="15"/>
  <c r="J35" i="15"/>
  <c r="I35" i="15"/>
  <c r="L35" i="15"/>
  <c r="I133" i="15"/>
  <c r="L133" i="15"/>
  <c r="K133" i="15"/>
  <c r="J133" i="15"/>
  <c r="M133" i="15"/>
  <c r="I49" i="15"/>
  <c r="L49" i="15"/>
  <c r="K49" i="15"/>
  <c r="J49" i="15"/>
  <c r="M49" i="15"/>
  <c r="L91" i="15"/>
  <c r="K91" i="15"/>
  <c r="I91" i="15"/>
  <c r="M91" i="15"/>
  <c r="J91" i="15"/>
  <c r="K190" i="3"/>
  <c r="J190" i="3"/>
  <c r="K201" i="3"/>
  <c r="J201" i="3"/>
  <c r="K196" i="3"/>
  <c r="J196" i="3"/>
  <c r="J207" i="3"/>
  <c r="K207" i="3"/>
  <c r="J17" i="2"/>
  <c r="K17" i="2"/>
  <c r="J18" i="2"/>
  <c r="K18" i="2"/>
  <c r="K187" i="3"/>
  <c r="J187" i="3"/>
  <c r="K198" i="3"/>
  <c r="J198" i="3"/>
  <c r="K193" i="3"/>
  <c r="J193" i="3"/>
  <c r="K204" i="3"/>
  <c r="J204" i="3"/>
  <c r="K70" i="2"/>
  <c r="J70" i="2"/>
  <c r="J125" i="3"/>
  <c r="K125" i="3"/>
  <c r="J114" i="3"/>
  <c r="K114" i="3"/>
  <c r="J128" i="3"/>
  <c r="K128" i="3"/>
  <c r="K117" i="3"/>
  <c r="J117" i="3"/>
  <c r="J131" i="3"/>
  <c r="K131" i="3"/>
  <c r="K120" i="3"/>
  <c r="J120" i="3"/>
  <c r="J134" i="3"/>
  <c r="K134" i="3"/>
  <c r="K123" i="3"/>
  <c r="J123" i="3"/>
  <c r="K199" i="3"/>
  <c r="J199" i="3"/>
  <c r="J188" i="3"/>
  <c r="K188" i="3"/>
  <c r="K202" i="3"/>
  <c r="J202" i="3"/>
  <c r="J191" i="3"/>
  <c r="K191" i="3"/>
  <c r="K205" i="3"/>
  <c r="J205" i="3"/>
  <c r="J194" i="3"/>
  <c r="K194" i="3"/>
  <c r="J87" i="10"/>
  <c r="J84" i="10"/>
  <c r="J83" i="10"/>
  <c r="J82" i="10"/>
  <c r="J81" i="10"/>
  <c r="J80" i="10"/>
  <c r="J79" i="10"/>
  <c r="J78" i="10"/>
  <c r="J77" i="10"/>
  <c r="J76" i="10"/>
  <c r="J75" i="10"/>
  <c r="J85" i="10"/>
  <c r="J74" i="10"/>
  <c r="J86" i="10"/>
  <c r="G73" i="10"/>
  <c r="K56" i="12"/>
  <c r="J56" i="12"/>
  <c r="L56" i="12"/>
  <c r="I56" i="12"/>
  <c r="K53" i="12"/>
  <c r="H57" i="12"/>
  <c r="J53" i="12"/>
  <c r="L53" i="12"/>
  <c r="I53" i="12"/>
  <c r="I54" i="12"/>
  <c r="L54" i="12"/>
  <c r="K54" i="12"/>
  <c r="J54" i="12"/>
  <c r="H63" i="10"/>
  <c r="H52" i="10"/>
  <c r="E51" i="10"/>
  <c r="H65" i="10"/>
  <c r="H62" i="10"/>
  <c r="H61" i="10"/>
  <c r="H60" i="10"/>
  <c r="H59" i="10"/>
  <c r="H58" i="10"/>
  <c r="H57" i="10"/>
  <c r="H56" i="10"/>
  <c r="H55" i="10"/>
  <c r="H54" i="10"/>
  <c r="H53" i="10"/>
  <c r="H64" i="10"/>
  <c r="V20" i="13"/>
  <c r="U20" i="13"/>
  <c r="W20" i="13"/>
  <c r="J48" i="13"/>
  <c r="I48" i="13"/>
  <c r="K48" i="13"/>
  <c r="J76" i="13"/>
  <c r="I76" i="13"/>
  <c r="K76" i="13"/>
  <c r="J104" i="13"/>
  <c r="I104" i="13"/>
  <c r="K104" i="13"/>
  <c r="J132" i="13"/>
  <c r="I132" i="13"/>
  <c r="K132" i="13"/>
  <c r="J160" i="13"/>
  <c r="I160" i="13"/>
  <c r="K160" i="13"/>
  <c r="H283" i="8"/>
  <c r="G271" i="8"/>
  <c r="H272" i="8" s="1"/>
  <c r="H263" i="8"/>
  <c r="H260" i="8"/>
  <c r="H259" i="8"/>
  <c r="H258" i="8"/>
  <c r="H257" i="8"/>
  <c r="H256" i="8"/>
  <c r="H255" i="8"/>
  <c r="H254" i="8"/>
  <c r="H253" i="8"/>
  <c r="H252" i="8"/>
  <c r="H251" i="8"/>
  <c r="H240" i="8"/>
  <c r="H217" i="8"/>
  <c r="G205" i="8"/>
  <c r="H206" i="8" s="1"/>
  <c r="H197" i="8"/>
  <c r="H194" i="8"/>
  <c r="H193" i="8"/>
  <c r="H192" i="8"/>
  <c r="H191" i="8"/>
  <c r="H190" i="8"/>
  <c r="H189" i="8"/>
  <c r="H188" i="8"/>
  <c r="H187" i="8"/>
  <c r="H186" i="8"/>
  <c r="H185" i="8"/>
  <c r="H174" i="8"/>
  <c r="H151" i="8"/>
  <c r="G139" i="8"/>
  <c r="H140" i="8" s="1"/>
  <c r="H131" i="8"/>
  <c r="H128" i="8"/>
  <c r="H127" i="8"/>
  <c r="H126" i="8"/>
  <c r="H125" i="8"/>
  <c r="H124" i="8"/>
  <c r="H123" i="8"/>
  <c r="H122" i="8"/>
  <c r="H121" i="8"/>
  <c r="H120" i="8"/>
  <c r="H119" i="8"/>
  <c r="H108" i="8"/>
  <c r="G51" i="8"/>
  <c r="G29" i="8"/>
  <c r="H30" i="8" s="1"/>
  <c r="E7" i="8"/>
  <c r="H285" i="8"/>
  <c r="H282" i="8"/>
  <c r="H281" i="8"/>
  <c r="H280" i="8"/>
  <c r="H279" i="8"/>
  <c r="H278" i="8"/>
  <c r="H277" i="8"/>
  <c r="H276" i="8"/>
  <c r="H275" i="8"/>
  <c r="H274" i="8"/>
  <c r="H273" i="8"/>
  <c r="H262" i="8"/>
  <c r="H239" i="8"/>
  <c r="G227" i="8"/>
  <c r="H228" i="8" s="1"/>
  <c r="H219" i="8"/>
  <c r="H216" i="8"/>
  <c r="H215" i="8"/>
  <c r="H214" i="8"/>
  <c r="H213" i="8"/>
  <c r="H212" i="8"/>
  <c r="H211" i="8"/>
  <c r="H210" i="8"/>
  <c r="H209" i="8"/>
  <c r="H208" i="8"/>
  <c r="H207" i="8"/>
  <c r="H196" i="8"/>
  <c r="H173" i="8"/>
  <c r="G161" i="8"/>
  <c r="H162" i="8" s="1"/>
  <c r="H153" i="8"/>
  <c r="H150" i="8"/>
  <c r="H149" i="8"/>
  <c r="H148" i="8"/>
  <c r="H147" i="8"/>
  <c r="H146" i="8"/>
  <c r="H145" i="8"/>
  <c r="H144" i="8"/>
  <c r="H143" i="8"/>
  <c r="H142" i="8"/>
  <c r="H141" i="8"/>
  <c r="H130" i="8"/>
  <c r="H107" i="8"/>
  <c r="G95" i="8"/>
  <c r="H96" i="8" s="1"/>
  <c r="G73" i="8"/>
  <c r="H284" i="8"/>
  <c r="H236" i="8"/>
  <c r="H233" i="8"/>
  <c r="H230" i="8"/>
  <c r="H175" i="8"/>
  <c r="H152" i="8"/>
  <c r="H104" i="8"/>
  <c r="H101" i="8"/>
  <c r="H98" i="8"/>
  <c r="H106" i="8"/>
  <c r="H100" i="8"/>
  <c r="H261" i="8"/>
  <c r="H171" i="8"/>
  <c r="H168" i="8"/>
  <c r="H165" i="8"/>
  <c r="H129" i="8"/>
  <c r="H8" i="8"/>
  <c r="H238" i="8"/>
  <c r="H232" i="8"/>
  <c r="H97" i="8"/>
  <c r="H241" i="8"/>
  <c r="H218" i="8"/>
  <c r="H170" i="8"/>
  <c r="H167" i="8"/>
  <c r="H164" i="8"/>
  <c r="H109" i="8"/>
  <c r="H237" i="8"/>
  <c r="H234" i="8"/>
  <c r="H231" i="8"/>
  <c r="H195" i="8"/>
  <c r="H105" i="8"/>
  <c r="H102" i="8"/>
  <c r="H99" i="8"/>
  <c r="H229" i="8"/>
  <c r="H103" i="8"/>
  <c r="G249" i="8"/>
  <c r="H250" i="8" s="1"/>
  <c r="H172" i="8"/>
  <c r="H169" i="8"/>
  <c r="H166" i="8"/>
  <c r="H163" i="8"/>
  <c r="G117" i="8"/>
  <c r="H118" i="8" s="1"/>
  <c r="H235" i="8"/>
  <c r="G183" i="8"/>
  <c r="H184" i="8" s="1"/>
  <c r="J64" i="8"/>
  <c r="J87" i="8"/>
  <c r="J63" i="8"/>
  <c r="J52" i="8"/>
  <c r="J60" i="8"/>
  <c r="J57" i="8"/>
  <c r="J54" i="8"/>
  <c r="J62" i="8"/>
  <c r="J59" i="8"/>
  <c r="J56" i="8"/>
  <c r="J53" i="8"/>
  <c r="J65" i="8"/>
  <c r="J61" i="8"/>
  <c r="J58" i="8"/>
  <c r="J55" i="8"/>
  <c r="J84" i="8"/>
  <c r="J83" i="8"/>
  <c r="J82" i="8"/>
  <c r="J81" i="8"/>
  <c r="J80" i="8"/>
  <c r="J79" i="8"/>
  <c r="J78" i="8"/>
  <c r="J77" i="8"/>
  <c r="J76" i="8"/>
  <c r="J75" i="8"/>
  <c r="J85" i="8"/>
  <c r="J74" i="8"/>
  <c r="J86" i="8"/>
  <c r="S23" i="14"/>
  <c r="T23" i="14"/>
  <c r="K161" i="16"/>
  <c r="J161" i="16"/>
  <c r="I161" i="16"/>
  <c r="K135" i="16"/>
  <c r="I135" i="16"/>
  <c r="J135" i="16"/>
  <c r="K133" i="16"/>
  <c r="J133" i="16"/>
  <c r="I133" i="16"/>
  <c r="K107" i="16"/>
  <c r="I107" i="16"/>
  <c r="J107" i="16"/>
  <c r="K105" i="16"/>
  <c r="J105" i="16"/>
  <c r="I105" i="16"/>
  <c r="K79" i="16"/>
  <c r="I79" i="16"/>
  <c r="J79" i="16"/>
  <c r="K149" i="16"/>
  <c r="J149" i="16"/>
  <c r="I149" i="16"/>
  <c r="K147" i="16"/>
  <c r="I147" i="16"/>
  <c r="J147" i="16"/>
  <c r="K121" i="16"/>
  <c r="J121" i="16"/>
  <c r="I121" i="16"/>
  <c r="K119" i="16"/>
  <c r="I119" i="16"/>
  <c r="J119" i="16"/>
  <c r="K93" i="16"/>
  <c r="J93" i="16"/>
  <c r="I93" i="16"/>
  <c r="K91" i="16"/>
  <c r="I91" i="16"/>
  <c r="J91" i="16"/>
  <c r="K65" i="16"/>
  <c r="I65" i="16"/>
  <c r="J65" i="16"/>
  <c r="I63" i="16"/>
  <c r="K63" i="16"/>
  <c r="J63" i="16"/>
  <c r="K37" i="16"/>
  <c r="I37" i="16"/>
  <c r="J37" i="16"/>
  <c r="I35" i="16"/>
  <c r="K35" i="16"/>
  <c r="J35" i="16"/>
  <c r="I21" i="16"/>
  <c r="K21" i="16"/>
  <c r="J21" i="16"/>
  <c r="I9" i="16"/>
  <c r="K9" i="16"/>
  <c r="J9" i="16"/>
  <c r="K77" i="16"/>
  <c r="J77" i="16"/>
  <c r="I77" i="16"/>
  <c r="I51" i="16"/>
  <c r="K51" i="16"/>
  <c r="J51" i="16"/>
  <c r="K49" i="16"/>
  <c r="I49" i="16"/>
  <c r="J49" i="16"/>
  <c r="I23" i="16"/>
  <c r="K23" i="16"/>
  <c r="J23" i="16"/>
  <c r="J19" i="10"/>
  <c r="J8" i="10"/>
  <c r="J21" i="10"/>
  <c r="J18" i="10"/>
  <c r="J17" i="10"/>
  <c r="J16" i="10"/>
  <c r="J15" i="10"/>
  <c r="J14" i="10"/>
  <c r="J13" i="10"/>
  <c r="J12" i="10"/>
  <c r="J11" i="10"/>
  <c r="J10" i="10"/>
  <c r="J9" i="10"/>
  <c r="J20" i="10"/>
  <c r="G7" i="10"/>
  <c r="H41" i="10"/>
  <c r="H30" i="10"/>
  <c r="H42" i="10"/>
  <c r="H43" i="10"/>
  <c r="H40" i="10"/>
  <c r="H39" i="10"/>
  <c r="H38" i="10"/>
  <c r="H37" i="10"/>
  <c r="H36" i="10"/>
  <c r="H35" i="10"/>
  <c r="H34" i="10"/>
  <c r="H33" i="10"/>
  <c r="H32" i="10"/>
  <c r="H31" i="10"/>
  <c r="E29" i="10"/>
  <c r="W9" i="16"/>
  <c r="U9" i="16"/>
  <c r="V9" i="16"/>
  <c r="W21" i="16"/>
  <c r="U21" i="16"/>
  <c r="V21" i="16"/>
  <c r="K149" i="17"/>
  <c r="I149" i="17"/>
  <c r="J149" i="17"/>
  <c r="I147" i="17"/>
  <c r="K147" i="17"/>
  <c r="J147" i="17"/>
  <c r="K121" i="17"/>
  <c r="I121" i="17"/>
  <c r="J121" i="17"/>
  <c r="I119" i="17"/>
  <c r="K119" i="17"/>
  <c r="J119" i="17"/>
  <c r="K93" i="17"/>
  <c r="I93" i="17"/>
  <c r="J93" i="17"/>
  <c r="I91" i="17"/>
  <c r="K91" i="17"/>
  <c r="J91" i="17"/>
  <c r="K65" i="17"/>
  <c r="I65" i="17"/>
  <c r="J65" i="17"/>
  <c r="I63" i="17"/>
  <c r="K63" i="17"/>
  <c r="J63" i="17"/>
  <c r="K37" i="17"/>
  <c r="I37" i="17"/>
  <c r="J37" i="17"/>
  <c r="I35" i="17"/>
  <c r="K35" i="17"/>
  <c r="J35" i="17"/>
  <c r="K21" i="17"/>
  <c r="J21" i="17"/>
  <c r="I21" i="17"/>
  <c r="K9" i="17"/>
  <c r="J9" i="17"/>
  <c r="I9" i="17"/>
  <c r="K161" i="17"/>
  <c r="I161" i="17"/>
  <c r="J161" i="17"/>
  <c r="I135" i="17"/>
  <c r="K135" i="17"/>
  <c r="J135" i="17"/>
  <c r="K133" i="17"/>
  <c r="I133" i="17"/>
  <c r="J133" i="17"/>
  <c r="I107" i="17"/>
  <c r="K107" i="17"/>
  <c r="J107" i="17"/>
  <c r="K105" i="17"/>
  <c r="I105" i="17"/>
  <c r="J105" i="17"/>
  <c r="I79" i="17"/>
  <c r="K79" i="17"/>
  <c r="J79" i="17"/>
  <c r="K77" i="17"/>
  <c r="I77" i="17"/>
  <c r="J77" i="17"/>
  <c r="I51" i="17"/>
  <c r="K51" i="17"/>
  <c r="J51" i="17"/>
  <c r="K49" i="17"/>
  <c r="I49" i="17"/>
  <c r="J49" i="17"/>
  <c r="K23" i="17"/>
  <c r="J23" i="17"/>
  <c r="I23" i="17"/>
  <c r="Y21" i="15"/>
  <c r="X21" i="15"/>
  <c r="W21" i="15"/>
  <c r="X8" i="18"/>
  <c r="Y8" i="18"/>
  <c r="I20" i="18"/>
  <c r="J20" i="18"/>
  <c r="Q48" i="18"/>
  <c r="R48" i="18"/>
  <c r="I50" i="18"/>
  <c r="J50" i="18"/>
  <c r="X62" i="18"/>
  <c r="Y62" i="18"/>
  <c r="Q104" i="18"/>
  <c r="R104" i="18"/>
  <c r="I160" i="18"/>
  <c r="J160" i="18"/>
  <c r="W9" i="17"/>
  <c r="U9" i="17"/>
  <c r="V9" i="17"/>
  <c r="W21" i="17"/>
  <c r="U21" i="17"/>
  <c r="V21" i="17"/>
  <c r="R160" i="18"/>
  <c r="Q160" i="18"/>
  <c r="R106" i="18"/>
  <c r="Q106" i="18"/>
  <c r="R76" i="18"/>
  <c r="Q76" i="18"/>
  <c r="R120" i="18"/>
  <c r="Q120" i="18"/>
  <c r="R90" i="18"/>
  <c r="Q90" i="18"/>
  <c r="R148" i="18"/>
  <c r="Q148" i="18"/>
  <c r="R118" i="18"/>
  <c r="Q118" i="18"/>
  <c r="R132" i="18"/>
  <c r="Q132" i="18"/>
  <c r="R78" i="18"/>
  <c r="Q78" i="18"/>
  <c r="Q146" i="18"/>
  <c r="R146" i="18"/>
  <c r="Q92" i="18"/>
  <c r="R92" i="18"/>
  <c r="R34" i="18"/>
  <c r="Q34" i="18"/>
  <c r="J36" i="18"/>
  <c r="I36" i="18"/>
  <c r="Y48" i="18"/>
  <c r="X48" i="18"/>
  <c r="R64" i="18"/>
  <c r="Q64" i="18"/>
  <c r="I106" i="18"/>
  <c r="J106" i="18"/>
  <c r="Y120" i="18"/>
  <c r="X120" i="18"/>
  <c r="Y90" i="18"/>
  <c r="X90" i="18"/>
  <c r="Y134" i="18"/>
  <c r="X134" i="18"/>
  <c r="Y104" i="18"/>
  <c r="X104" i="18"/>
  <c r="Y132" i="18"/>
  <c r="X132" i="18"/>
  <c r="Y78" i="18"/>
  <c r="X78" i="18"/>
  <c r="Y146" i="18"/>
  <c r="X146" i="18"/>
  <c r="Y92" i="18"/>
  <c r="X92" i="18"/>
  <c r="X160" i="18"/>
  <c r="Y160" i="18"/>
  <c r="X106" i="18"/>
  <c r="Y106" i="18"/>
  <c r="X76" i="18"/>
  <c r="Y76" i="18"/>
  <c r="R20" i="18"/>
  <c r="Q20" i="18"/>
  <c r="J22" i="18"/>
  <c r="I22" i="18"/>
  <c r="Y34" i="18"/>
  <c r="X34" i="18"/>
  <c r="R50" i="18"/>
  <c r="Q50" i="18"/>
  <c r="Y64" i="18"/>
  <c r="X64" i="18"/>
  <c r="L161" i="19"/>
  <c r="L149" i="19"/>
  <c r="L147" i="19"/>
  <c r="L135" i="19"/>
  <c r="L133" i="19"/>
  <c r="L121" i="19"/>
  <c r="L119" i="19"/>
  <c r="L107" i="19"/>
  <c r="L105" i="19"/>
  <c r="L93" i="19"/>
  <c r="L91" i="19"/>
  <c r="L79" i="19"/>
  <c r="L77" i="19"/>
  <c r="L65" i="19"/>
  <c r="L63" i="19"/>
  <c r="L51" i="19"/>
  <c r="L49" i="19"/>
  <c r="L37" i="19"/>
  <c r="L35" i="19"/>
  <c r="L23" i="19"/>
  <c r="L21" i="19"/>
  <c r="L9" i="19"/>
  <c r="K7" i="19"/>
  <c r="Q7" i="19" s="1"/>
  <c r="R22" i="18"/>
  <c r="Q22" i="18"/>
  <c r="Y36" i="18"/>
  <c r="X36" i="18"/>
  <c r="J48" i="18"/>
  <c r="I48" i="18"/>
  <c r="I76" i="18"/>
  <c r="J76" i="18"/>
  <c r="T161" i="19"/>
  <c r="T149" i="19"/>
  <c r="T147" i="19"/>
  <c r="T135" i="19"/>
  <c r="T133" i="19"/>
  <c r="T121" i="19"/>
  <c r="T119" i="19"/>
  <c r="T107" i="19"/>
  <c r="T105" i="19"/>
  <c r="T93" i="19"/>
  <c r="T91" i="19"/>
  <c r="T79" i="19"/>
  <c r="T77" i="19"/>
  <c r="T65" i="19"/>
  <c r="T63" i="19"/>
  <c r="T51" i="19"/>
  <c r="T49" i="19"/>
  <c r="T37" i="19"/>
  <c r="T35" i="19"/>
  <c r="T23" i="19"/>
  <c r="T21" i="19"/>
  <c r="T9" i="19"/>
  <c r="S7" i="19"/>
  <c r="U9" i="19"/>
  <c r="Z10" i="19" s="1"/>
  <c r="U21" i="19"/>
  <c r="Z21" i="19" s="1"/>
  <c r="Z13" i="19"/>
  <c r="U23" i="19"/>
  <c r="Z23" i="19" s="1"/>
  <c r="Z24" i="19"/>
  <c r="U35" i="19"/>
  <c r="Z35" i="19" s="1"/>
  <c r="U37" i="19"/>
  <c r="Z37" i="19" s="1"/>
  <c r="Z38" i="19"/>
  <c r="U49" i="19"/>
  <c r="Z49" i="19" s="1"/>
  <c r="Z41" i="19"/>
  <c r="U51" i="19"/>
  <c r="Z51" i="19" s="1"/>
  <c r="U63" i="19"/>
  <c r="Z63" i="19" s="1"/>
  <c r="Z55" i="19"/>
  <c r="U65" i="19"/>
  <c r="Z65" i="19" s="1"/>
  <c r="Z66" i="19"/>
  <c r="U77" i="19"/>
  <c r="Z77" i="19" s="1"/>
  <c r="U79" i="19"/>
  <c r="Z79" i="19" s="1"/>
  <c r="Z80" i="19"/>
  <c r="U91" i="19"/>
  <c r="Z91" i="19" s="1"/>
  <c r="Z83" i="19"/>
  <c r="U93" i="19"/>
  <c r="Z93" i="19" s="1"/>
  <c r="U105" i="19"/>
  <c r="Z105" i="19" s="1"/>
  <c r="Z97" i="19"/>
  <c r="U107" i="19"/>
  <c r="Z107" i="19" s="1"/>
  <c r="Z108" i="19"/>
  <c r="U119" i="19"/>
  <c r="Z119" i="19" s="1"/>
  <c r="U121" i="19"/>
  <c r="Z121" i="19" s="1"/>
  <c r="Z122" i="19"/>
  <c r="U133" i="19"/>
  <c r="Z133" i="19" s="1"/>
  <c r="Z125" i="19"/>
  <c r="U135" i="19"/>
  <c r="Z135" i="19" s="1"/>
  <c r="U147" i="19"/>
  <c r="Z147" i="19" s="1"/>
  <c r="Z139" i="19"/>
  <c r="U149" i="19"/>
  <c r="Z149" i="19" s="1"/>
  <c r="Z150" i="19"/>
  <c r="U161" i="19"/>
  <c r="Z161" i="19" s="1"/>
  <c r="J132" i="18"/>
  <c r="I132" i="18"/>
  <c r="J78" i="18"/>
  <c r="I78" i="18"/>
  <c r="J146" i="18"/>
  <c r="I146" i="18"/>
  <c r="J92" i="18"/>
  <c r="I92" i="18"/>
  <c r="J120" i="18"/>
  <c r="I120" i="18"/>
  <c r="J90" i="18"/>
  <c r="I90" i="18"/>
  <c r="J134" i="18"/>
  <c r="I134" i="18"/>
  <c r="J104" i="18"/>
  <c r="I104" i="18"/>
  <c r="I148" i="18"/>
  <c r="J148" i="18"/>
  <c r="I118" i="18"/>
  <c r="J118" i="18"/>
  <c r="R8" i="18"/>
  <c r="Q8" i="18"/>
  <c r="Y22" i="18"/>
  <c r="X22" i="18"/>
  <c r="J34" i="18"/>
  <c r="I34" i="18"/>
  <c r="R62" i="18"/>
  <c r="Q62" i="18"/>
  <c r="J64" i="18"/>
  <c r="I64" i="18"/>
  <c r="H9" i="19"/>
  <c r="J9" i="19"/>
  <c r="H21" i="19"/>
  <c r="J21" i="19"/>
  <c r="H23" i="19"/>
  <c r="J23" i="19"/>
  <c r="H35" i="19"/>
  <c r="J35" i="19"/>
  <c r="H37" i="19"/>
  <c r="J37" i="19"/>
  <c r="H49" i="19"/>
  <c r="J49" i="19"/>
  <c r="H79" i="19"/>
  <c r="J79" i="19"/>
  <c r="H91" i="19"/>
  <c r="J91" i="19"/>
  <c r="H121" i="19"/>
  <c r="J121" i="19"/>
  <c r="H133" i="19"/>
  <c r="J133" i="19"/>
  <c r="R161" i="19"/>
  <c r="P161" i="19"/>
  <c r="R149" i="19"/>
  <c r="P149" i="19"/>
  <c r="R147" i="19"/>
  <c r="P147" i="19"/>
  <c r="R135" i="19"/>
  <c r="P135" i="19"/>
  <c r="R133" i="19"/>
  <c r="P133" i="19"/>
  <c r="R121" i="19"/>
  <c r="P121" i="19"/>
  <c r="R119" i="19"/>
  <c r="P119" i="19"/>
  <c r="R107" i="19"/>
  <c r="P107" i="19"/>
  <c r="R105" i="19"/>
  <c r="P105" i="19"/>
  <c r="R93" i="19"/>
  <c r="P93" i="19"/>
  <c r="R91" i="19"/>
  <c r="P91" i="19"/>
  <c r="R79" i="19"/>
  <c r="P79" i="19"/>
  <c r="R77" i="19"/>
  <c r="P77" i="19"/>
  <c r="R65" i="19"/>
  <c r="P65" i="19"/>
  <c r="R63" i="19"/>
  <c r="P63" i="19"/>
  <c r="R51" i="19"/>
  <c r="P51" i="19"/>
  <c r="R9" i="19"/>
  <c r="P9" i="19"/>
  <c r="R21" i="19"/>
  <c r="P21" i="19"/>
  <c r="R23" i="19"/>
  <c r="P23" i="19"/>
  <c r="R35" i="19"/>
  <c r="P35" i="19"/>
  <c r="R37" i="19"/>
  <c r="P37" i="19"/>
  <c r="R49" i="19"/>
  <c r="P49" i="19"/>
  <c r="X161" i="19"/>
  <c r="X149" i="19"/>
  <c r="X147" i="19"/>
  <c r="X135" i="19"/>
  <c r="X133" i="19"/>
  <c r="X121" i="19"/>
  <c r="X119" i="19"/>
  <c r="X107" i="19"/>
  <c r="X105" i="19"/>
  <c r="X93" i="19"/>
  <c r="X91" i="19"/>
  <c r="X79" i="19"/>
  <c r="X77" i="19"/>
  <c r="X65" i="19"/>
  <c r="X63" i="19"/>
  <c r="X51" i="19"/>
  <c r="X9" i="19"/>
  <c r="X21" i="19"/>
  <c r="X23" i="19"/>
  <c r="X35" i="19"/>
  <c r="X37" i="19"/>
  <c r="X49" i="19"/>
  <c r="R22" i="21"/>
  <c r="Q22" i="21"/>
  <c r="J85" i="24"/>
  <c r="J86" i="24"/>
  <c r="J83" i="24"/>
  <c r="J80" i="24"/>
  <c r="J77" i="24"/>
  <c r="J82" i="24"/>
  <c r="J79" i="24"/>
  <c r="J76" i="24"/>
  <c r="J84" i="24"/>
  <c r="J75" i="24"/>
  <c r="J81" i="24"/>
  <c r="J78" i="24"/>
  <c r="G205" i="24"/>
  <c r="G139" i="24"/>
  <c r="E7" i="24"/>
  <c r="H8" i="24" s="1"/>
  <c r="G227" i="24"/>
  <c r="G161" i="24"/>
  <c r="G73" i="24"/>
  <c r="G183" i="24"/>
  <c r="G95" i="24"/>
  <c r="G253" i="24"/>
  <c r="G29" i="24"/>
  <c r="G51" i="24"/>
  <c r="G117" i="24"/>
  <c r="J65" i="24"/>
  <c r="J64" i="24"/>
  <c r="J60" i="24"/>
  <c r="J57" i="24"/>
  <c r="J54" i="24"/>
  <c r="J63" i="24"/>
  <c r="J87" i="24"/>
  <c r="J61" i="24"/>
  <c r="J58" i="24"/>
  <c r="J55" i="24"/>
  <c r="J62" i="24"/>
  <c r="J53" i="24"/>
  <c r="J56" i="24"/>
  <c r="J59" i="24"/>
  <c r="E161" i="19"/>
  <c r="E149" i="19"/>
  <c r="E147" i="19"/>
  <c r="E135" i="19"/>
  <c r="E133" i="19"/>
  <c r="E121" i="19"/>
  <c r="E119" i="19"/>
  <c r="E107" i="19"/>
  <c r="E105" i="19"/>
  <c r="E93" i="19"/>
  <c r="E91" i="19"/>
  <c r="E79" i="19"/>
  <c r="E77" i="19"/>
  <c r="E65" i="19"/>
  <c r="E63" i="19"/>
  <c r="E51" i="19"/>
  <c r="E49" i="19"/>
  <c r="E37" i="19"/>
  <c r="E35" i="19"/>
  <c r="E23" i="19"/>
  <c r="E21" i="19"/>
  <c r="E9" i="19"/>
  <c r="D7" i="19"/>
  <c r="H65" i="19"/>
  <c r="J65" i="19"/>
  <c r="H77" i="19"/>
  <c r="J77" i="19"/>
  <c r="H107" i="19"/>
  <c r="J107" i="19"/>
  <c r="H119" i="19"/>
  <c r="J119" i="19"/>
  <c r="H149" i="19"/>
  <c r="J149" i="19"/>
  <c r="H161" i="19"/>
  <c r="J161" i="19"/>
  <c r="I22" i="21"/>
  <c r="H22" i="21"/>
  <c r="I64" i="21"/>
  <c r="H64" i="21"/>
  <c r="I120" i="21"/>
  <c r="H120" i="21"/>
  <c r="I92" i="21"/>
  <c r="H92" i="21"/>
  <c r="H162" i="21"/>
  <c r="I162" i="21"/>
  <c r="H78" i="21"/>
  <c r="I78" i="21"/>
  <c r="H134" i="21"/>
  <c r="I134" i="21"/>
  <c r="I148" i="21"/>
  <c r="H148" i="21"/>
  <c r="H36" i="21"/>
  <c r="I36" i="21"/>
  <c r="X21" i="22"/>
  <c r="V21" i="22"/>
  <c r="W21" i="22"/>
  <c r="K147" i="22"/>
  <c r="L147" i="22"/>
  <c r="J147" i="22"/>
  <c r="K105" i="22"/>
  <c r="L105" i="22"/>
  <c r="J105" i="22"/>
  <c r="K63" i="22"/>
  <c r="J63" i="22"/>
  <c r="L63" i="22"/>
  <c r="J161" i="22"/>
  <c r="L161" i="22"/>
  <c r="K161" i="22"/>
  <c r="L119" i="22"/>
  <c r="K119" i="22"/>
  <c r="J119" i="22"/>
  <c r="K77" i="22"/>
  <c r="J77" i="22"/>
  <c r="L77" i="22"/>
  <c r="J21" i="22"/>
  <c r="L21" i="22"/>
  <c r="K21" i="22"/>
  <c r="K91" i="22"/>
  <c r="L91" i="22"/>
  <c r="J91" i="22"/>
  <c r="D30" i="25"/>
  <c r="J160" i="26"/>
  <c r="I160" i="26"/>
  <c r="K160" i="26"/>
  <c r="J132" i="26"/>
  <c r="I132" i="26"/>
  <c r="K132" i="26"/>
  <c r="J104" i="26"/>
  <c r="I104" i="26"/>
  <c r="K104" i="26"/>
  <c r="J76" i="26"/>
  <c r="I76" i="26"/>
  <c r="K76" i="26"/>
  <c r="J48" i="26"/>
  <c r="I48" i="26"/>
  <c r="K48" i="26"/>
  <c r="J90" i="26"/>
  <c r="I90" i="26"/>
  <c r="K90" i="26"/>
  <c r="J146" i="26"/>
  <c r="I146" i="26"/>
  <c r="K146" i="26"/>
  <c r="J34" i="26"/>
  <c r="K34" i="26"/>
  <c r="I34" i="26"/>
  <c r="K48" i="27"/>
  <c r="I48" i="27"/>
  <c r="J48" i="27"/>
  <c r="K146" i="27"/>
  <c r="J146" i="27"/>
  <c r="I146" i="27"/>
  <c r="K118" i="27"/>
  <c r="J118" i="27"/>
  <c r="I118" i="27"/>
  <c r="K90" i="27"/>
  <c r="J90" i="27"/>
  <c r="I90" i="27"/>
  <c r="K62" i="27"/>
  <c r="J62" i="27"/>
  <c r="I62" i="27"/>
  <c r="K160" i="27"/>
  <c r="I160" i="27"/>
  <c r="J160" i="27"/>
  <c r="K132" i="27"/>
  <c r="I132" i="27"/>
  <c r="J132" i="27"/>
  <c r="K104" i="27"/>
  <c r="I104" i="27"/>
  <c r="J104" i="27"/>
  <c r="K76" i="27"/>
  <c r="I76" i="27"/>
  <c r="J76" i="27"/>
  <c r="I34" i="27"/>
  <c r="K34" i="27"/>
  <c r="J34" i="27"/>
  <c r="I20" i="28"/>
  <c r="L20" i="28"/>
  <c r="K20" i="28"/>
  <c r="J20" i="28"/>
  <c r="M20" i="28"/>
  <c r="M76" i="28"/>
  <c r="I76" i="28"/>
  <c r="L76" i="28"/>
  <c r="J76" i="28"/>
  <c r="K76" i="28"/>
  <c r="I104" i="28"/>
  <c r="L104" i="28"/>
  <c r="K104" i="28"/>
  <c r="J104" i="28"/>
  <c r="M104" i="28"/>
  <c r="K48" i="28"/>
  <c r="J48" i="28"/>
  <c r="M48" i="28"/>
  <c r="L48" i="28"/>
  <c r="I48" i="28"/>
  <c r="J118" i="28"/>
  <c r="I118" i="28"/>
  <c r="M118" i="28"/>
  <c r="L118" i="28"/>
  <c r="K118" i="28"/>
  <c r="K132" i="28"/>
  <c r="J132" i="28"/>
  <c r="M132" i="28"/>
  <c r="L132" i="28"/>
  <c r="I132" i="28"/>
  <c r="M160" i="28"/>
  <c r="L160" i="28"/>
  <c r="J160" i="28"/>
  <c r="I160" i="28"/>
  <c r="K160" i="28"/>
  <c r="M90" i="28"/>
  <c r="K90" i="28"/>
  <c r="J90" i="28"/>
  <c r="I90" i="28"/>
  <c r="L90" i="28"/>
  <c r="J34" i="28"/>
  <c r="I34" i="28"/>
  <c r="M34" i="28"/>
  <c r="L34" i="28"/>
  <c r="K34" i="28"/>
  <c r="I146" i="43"/>
  <c r="G146" i="43"/>
  <c r="H146" i="43"/>
  <c r="K146" i="43" s="1"/>
  <c r="O129" i="39"/>
  <c r="N129" i="39"/>
  <c r="L129" i="39"/>
  <c r="K129" i="39"/>
  <c r="M129" i="39"/>
  <c r="M16" i="43"/>
  <c r="L16" i="43"/>
  <c r="N16" i="43"/>
  <c r="I16" i="43"/>
  <c r="J16" i="43"/>
  <c r="H16" i="43"/>
  <c r="O146" i="43"/>
  <c r="M146" i="43"/>
  <c r="N146" i="43"/>
  <c r="L146" i="43"/>
  <c r="Q16" i="43"/>
  <c r="P16" i="43"/>
  <c r="T16" i="43"/>
  <c r="S16" i="43"/>
  <c r="R16" i="43"/>
  <c r="O146" i="44"/>
  <c r="N146" i="44"/>
  <c r="M146" i="44"/>
  <c r="L146" i="44"/>
  <c r="O146" i="45"/>
  <c r="L146" i="45"/>
  <c r="N146" i="45"/>
  <c r="M146" i="45"/>
  <c r="Z153" i="19" l="1"/>
  <c r="Z136" i="19"/>
  <c r="Z111" i="19"/>
  <c r="Z94" i="19"/>
  <c r="Z69" i="19"/>
  <c r="Z52" i="19"/>
  <c r="Z27" i="19"/>
  <c r="Z9" i="19"/>
  <c r="Z155" i="19"/>
  <c r="Z144" i="19"/>
  <c r="Z137" i="19"/>
  <c r="Z127" i="19"/>
  <c r="Z116" i="19"/>
  <c r="Z109" i="19"/>
  <c r="Z99" i="19"/>
  <c r="Z88" i="19"/>
  <c r="Z81" i="19"/>
  <c r="Z71" i="19"/>
  <c r="Z60" i="19"/>
  <c r="Z53" i="19"/>
  <c r="Z43" i="19"/>
  <c r="Z32" i="19"/>
  <c r="Z25" i="19"/>
  <c r="Z15" i="19"/>
  <c r="Z160" i="19"/>
  <c r="Z154" i="19"/>
  <c r="Z143" i="19"/>
  <c r="Z132" i="19"/>
  <c r="Z126" i="19"/>
  <c r="Z115" i="19"/>
  <c r="Z104" i="19"/>
  <c r="Z98" i="19"/>
  <c r="Z87" i="19"/>
  <c r="Z76" i="19"/>
  <c r="Z70" i="19"/>
  <c r="Z59" i="19"/>
  <c r="Z48" i="19"/>
  <c r="Z42" i="19"/>
  <c r="Z31" i="19"/>
  <c r="Z20" i="19"/>
  <c r="Z14" i="19"/>
  <c r="Z159" i="19"/>
  <c r="Z152" i="19"/>
  <c r="Z142" i="19"/>
  <c r="Z131" i="19"/>
  <c r="Z124" i="19"/>
  <c r="Z114" i="19"/>
  <c r="Z103" i="19"/>
  <c r="Z96" i="19"/>
  <c r="Z86" i="19"/>
  <c r="Z75" i="19"/>
  <c r="Z68" i="19"/>
  <c r="Z58" i="19"/>
  <c r="Z47" i="19"/>
  <c r="Z40" i="19"/>
  <c r="Z30" i="19"/>
  <c r="Z19" i="19"/>
  <c r="Z12" i="19"/>
  <c r="Z158" i="19"/>
  <c r="Z151" i="19"/>
  <c r="Z141" i="19"/>
  <c r="Z130" i="19"/>
  <c r="Z123" i="19"/>
  <c r="Z113" i="19"/>
  <c r="Z102" i="19"/>
  <c r="Z95" i="19"/>
  <c r="Z85" i="19"/>
  <c r="Z74" i="19"/>
  <c r="Z67" i="19"/>
  <c r="Z57" i="19"/>
  <c r="Z46" i="19"/>
  <c r="Z39" i="19"/>
  <c r="Z29" i="19"/>
  <c r="Z18" i="19"/>
  <c r="Z11" i="19"/>
  <c r="Z138" i="19"/>
  <c r="Z110" i="19"/>
  <c r="Z82" i="19"/>
  <c r="Z54" i="19"/>
  <c r="Z26" i="19"/>
  <c r="Z28" i="19"/>
  <c r="Z157" i="19"/>
  <c r="Z129" i="19"/>
  <c r="Z101" i="19"/>
  <c r="Z73" i="19"/>
  <c r="Z45" i="19"/>
  <c r="Z17" i="19"/>
  <c r="Z84" i="19"/>
  <c r="Z156" i="19"/>
  <c r="Z128" i="19"/>
  <c r="Z100" i="19"/>
  <c r="Z72" i="19"/>
  <c r="Z44" i="19"/>
  <c r="Z16" i="19"/>
  <c r="Z140" i="19"/>
  <c r="Z146" i="19"/>
  <c r="Z118" i="19"/>
  <c r="Z90" i="19"/>
  <c r="Z62" i="19"/>
  <c r="Z34" i="19"/>
  <c r="Z56" i="19"/>
  <c r="Z145" i="19"/>
  <c r="Z117" i="19"/>
  <c r="Z89" i="19"/>
  <c r="Z61" i="19"/>
  <c r="Z33" i="19"/>
  <c r="Z112" i="19"/>
  <c r="D161" i="19"/>
  <c r="D149" i="19"/>
  <c r="D119" i="19"/>
  <c r="D107" i="19"/>
  <c r="D77" i="19"/>
  <c r="D65" i="19"/>
  <c r="D147" i="19"/>
  <c r="D135" i="19"/>
  <c r="D105" i="19"/>
  <c r="D93" i="19"/>
  <c r="D63" i="19"/>
  <c r="D51" i="19"/>
  <c r="C7" i="19"/>
  <c r="I7" i="19" s="1"/>
  <c r="D133" i="19"/>
  <c r="D121" i="19"/>
  <c r="D91" i="19"/>
  <c r="D79" i="19"/>
  <c r="D21" i="19"/>
  <c r="D9" i="19"/>
  <c r="D35" i="19"/>
  <c r="D23" i="19"/>
  <c r="D49" i="19"/>
  <c r="D37" i="19"/>
  <c r="H87" i="24"/>
  <c r="H65" i="24"/>
  <c r="H60" i="24"/>
  <c r="H57" i="24"/>
  <c r="H54" i="24"/>
  <c r="H62" i="24"/>
  <c r="H59" i="24"/>
  <c r="H56" i="24"/>
  <c r="H53" i="24"/>
  <c r="H55" i="24"/>
  <c r="H61" i="24"/>
  <c r="H63" i="24"/>
  <c r="H58" i="24"/>
  <c r="H64" i="24"/>
  <c r="H84" i="24"/>
  <c r="H83" i="24"/>
  <c r="H82" i="24"/>
  <c r="H81" i="24"/>
  <c r="H80" i="24"/>
  <c r="H79" i="24"/>
  <c r="H78" i="24"/>
  <c r="H77" i="24"/>
  <c r="H76" i="24"/>
  <c r="H75" i="24"/>
  <c r="H85" i="24"/>
  <c r="H86" i="24"/>
  <c r="E253" i="24"/>
  <c r="E183" i="24"/>
  <c r="E117" i="24"/>
  <c r="E227" i="24"/>
  <c r="E161" i="24"/>
  <c r="E95" i="24"/>
  <c r="E73" i="24"/>
  <c r="E29" i="24"/>
  <c r="F17" i="24"/>
  <c r="F14" i="24"/>
  <c r="F11" i="24"/>
  <c r="E139" i="24"/>
  <c r="E205" i="24"/>
  <c r="E51" i="24"/>
  <c r="F19" i="24"/>
  <c r="F18" i="24"/>
  <c r="F15" i="24"/>
  <c r="F12" i="24"/>
  <c r="F9" i="24"/>
  <c r="F20" i="24"/>
  <c r="F13" i="24"/>
  <c r="C7" i="24"/>
  <c r="F8" i="24" s="1"/>
  <c r="F21" i="24"/>
  <c r="F16" i="24"/>
  <c r="F10" i="24"/>
  <c r="S133" i="19"/>
  <c r="Y133" i="19" s="1"/>
  <c r="S121" i="19"/>
  <c r="Y121" i="19" s="1"/>
  <c r="S91" i="19"/>
  <c r="Y91" i="19" s="1"/>
  <c r="S79" i="19"/>
  <c r="Y79" i="19" s="1"/>
  <c r="S147" i="19"/>
  <c r="Y147" i="19" s="1"/>
  <c r="S135" i="19"/>
  <c r="Y135" i="19" s="1"/>
  <c r="S105" i="19"/>
  <c r="Y105" i="19" s="1"/>
  <c r="S93" i="19"/>
  <c r="Y93" i="19" s="1"/>
  <c r="S63" i="19"/>
  <c r="Y63" i="19" s="1"/>
  <c r="S51" i="19"/>
  <c r="Y51" i="19" s="1"/>
  <c r="S49" i="19"/>
  <c r="Y49" i="19" s="1"/>
  <c r="S37" i="19"/>
  <c r="Y37" i="19" s="1"/>
  <c r="S35" i="19"/>
  <c r="Y35" i="19" s="1"/>
  <c r="S23" i="19"/>
  <c r="Y23" i="19" s="1"/>
  <c r="S21" i="19"/>
  <c r="Y21" i="19" s="1"/>
  <c r="S9" i="19"/>
  <c r="Y9" i="19" s="1"/>
  <c r="Y7" i="19"/>
  <c r="S161" i="19"/>
  <c r="Y161" i="19" s="1"/>
  <c r="S65" i="19"/>
  <c r="Y65" i="19" s="1"/>
  <c r="S149" i="19"/>
  <c r="Y149" i="19" s="1"/>
  <c r="S119" i="19"/>
  <c r="Y119" i="19" s="1"/>
  <c r="S77" i="19"/>
  <c r="Y77" i="19" s="1"/>
  <c r="S107" i="19"/>
  <c r="Y107" i="19" s="1"/>
  <c r="K161" i="19"/>
  <c r="Q161" i="19" s="1"/>
  <c r="K149" i="19"/>
  <c r="Q149" i="19" s="1"/>
  <c r="K147" i="19"/>
  <c r="Q147" i="19" s="1"/>
  <c r="K135" i="19"/>
  <c r="Q135" i="19" s="1"/>
  <c r="K133" i="19"/>
  <c r="Q133" i="19" s="1"/>
  <c r="K121" i="19"/>
  <c r="Q121" i="19" s="1"/>
  <c r="K119" i="19"/>
  <c r="Q119" i="19" s="1"/>
  <c r="K107" i="19"/>
  <c r="Q107" i="19" s="1"/>
  <c r="K105" i="19"/>
  <c r="Q105" i="19" s="1"/>
  <c r="K93" i="19"/>
  <c r="Q93" i="19" s="1"/>
  <c r="K91" i="19"/>
  <c r="Q91" i="19" s="1"/>
  <c r="K79" i="19"/>
  <c r="Q79" i="19" s="1"/>
  <c r="K77" i="19"/>
  <c r="Q77" i="19" s="1"/>
  <c r="K65" i="19"/>
  <c r="Q65" i="19" s="1"/>
  <c r="K63" i="19"/>
  <c r="Q63" i="19" s="1"/>
  <c r="K51" i="19"/>
  <c r="Q51" i="19" s="1"/>
  <c r="K49" i="19"/>
  <c r="Q49" i="19" s="1"/>
  <c r="K37" i="19"/>
  <c r="Q37" i="19" s="1"/>
  <c r="K35" i="19"/>
  <c r="Q35" i="19" s="1"/>
  <c r="K23" i="19"/>
  <c r="Q23" i="19" s="1"/>
  <c r="K21" i="19"/>
  <c r="Q21" i="19" s="1"/>
  <c r="K9" i="19"/>
  <c r="Q9" i="19" s="1"/>
  <c r="F43" i="10"/>
  <c r="F40" i="10"/>
  <c r="F39" i="10"/>
  <c r="F38" i="10"/>
  <c r="F37" i="10"/>
  <c r="F36" i="10"/>
  <c r="F35" i="10"/>
  <c r="F34" i="10"/>
  <c r="F33" i="10"/>
  <c r="F32" i="10"/>
  <c r="F31" i="10"/>
  <c r="F41" i="10"/>
  <c r="C29" i="10"/>
  <c r="F42" i="10"/>
  <c r="F30" i="10"/>
  <c r="H21" i="10"/>
  <c r="H18" i="10"/>
  <c r="H17" i="10"/>
  <c r="H16" i="10"/>
  <c r="H15" i="10"/>
  <c r="H14" i="10"/>
  <c r="H13" i="10"/>
  <c r="H12" i="10"/>
  <c r="H11" i="10"/>
  <c r="H10" i="10"/>
  <c r="H9" i="10"/>
  <c r="E7" i="10"/>
  <c r="H20" i="10"/>
  <c r="H19" i="10"/>
  <c r="H8" i="10"/>
  <c r="H86" i="8"/>
  <c r="H84" i="8"/>
  <c r="H83" i="8"/>
  <c r="H82" i="8"/>
  <c r="H81" i="8"/>
  <c r="H80" i="8"/>
  <c r="H79" i="8"/>
  <c r="H78" i="8"/>
  <c r="H77" i="8"/>
  <c r="H76" i="8"/>
  <c r="H75" i="8"/>
  <c r="H85" i="8"/>
  <c r="H74" i="8"/>
  <c r="F285" i="8"/>
  <c r="F282" i="8"/>
  <c r="F281" i="8"/>
  <c r="F280" i="8"/>
  <c r="F279" i="8"/>
  <c r="F278" i="8"/>
  <c r="F277" i="8"/>
  <c r="F276" i="8"/>
  <c r="F275" i="8"/>
  <c r="F274" i="8"/>
  <c r="F273" i="8"/>
  <c r="F262" i="8"/>
  <c r="F239" i="8"/>
  <c r="F219" i="8"/>
  <c r="F216" i="8"/>
  <c r="F215" i="8"/>
  <c r="F214" i="8"/>
  <c r="F213" i="8"/>
  <c r="F212" i="8"/>
  <c r="F211" i="8"/>
  <c r="F210" i="8"/>
  <c r="F209" i="8"/>
  <c r="F208" i="8"/>
  <c r="F207" i="8"/>
  <c r="F196" i="8"/>
  <c r="F173" i="8"/>
  <c r="F153" i="8"/>
  <c r="F150" i="8"/>
  <c r="F149" i="8"/>
  <c r="F148" i="8"/>
  <c r="F147" i="8"/>
  <c r="F146" i="8"/>
  <c r="F145" i="8"/>
  <c r="F144" i="8"/>
  <c r="F143" i="8"/>
  <c r="F142" i="8"/>
  <c r="F141" i="8"/>
  <c r="F130" i="8"/>
  <c r="F107" i="8"/>
  <c r="E73" i="8"/>
  <c r="F20" i="8"/>
  <c r="E271" i="8"/>
  <c r="F272" i="8" s="1"/>
  <c r="E205" i="8"/>
  <c r="F206" i="8" s="1"/>
  <c r="E139" i="8"/>
  <c r="F140" i="8" s="1"/>
  <c r="E51" i="8"/>
  <c r="F43" i="8"/>
  <c r="F40" i="8"/>
  <c r="F39" i="8"/>
  <c r="F38" i="8"/>
  <c r="F37" i="8"/>
  <c r="F36" i="8"/>
  <c r="F35" i="8"/>
  <c r="F34" i="8"/>
  <c r="F33" i="8"/>
  <c r="F32" i="8"/>
  <c r="F31" i="8"/>
  <c r="E249" i="8"/>
  <c r="F250" i="8" s="1"/>
  <c r="E183" i="8"/>
  <c r="F184" i="8" s="1"/>
  <c r="E117" i="8"/>
  <c r="F118" i="8" s="1"/>
  <c r="F41" i="8"/>
  <c r="F8" i="8"/>
  <c r="F284" i="8"/>
  <c r="F261" i="8"/>
  <c r="F241" i="8"/>
  <c r="F238" i="8"/>
  <c r="F237" i="8"/>
  <c r="F236" i="8"/>
  <c r="F235" i="8"/>
  <c r="F234" i="8"/>
  <c r="F233" i="8"/>
  <c r="F232" i="8"/>
  <c r="F231" i="8"/>
  <c r="F230" i="8"/>
  <c r="F229" i="8"/>
  <c r="F218" i="8"/>
  <c r="F195" i="8"/>
  <c r="F175" i="8"/>
  <c r="F172" i="8"/>
  <c r="F171" i="8"/>
  <c r="F170" i="8"/>
  <c r="F169" i="8"/>
  <c r="F168" i="8"/>
  <c r="F167" i="8"/>
  <c r="F166" i="8"/>
  <c r="F165" i="8"/>
  <c r="F164" i="8"/>
  <c r="F163" i="8"/>
  <c r="F152" i="8"/>
  <c r="F129" i="8"/>
  <c r="F109" i="8"/>
  <c r="F106" i="8"/>
  <c r="F105" i="8"/>
  <c r="F104" i="8"/>
  <c r="F103" i="8"/>
  <c r="F102" i="8"/>
  <c r="F101" i="8"/>
  <c r="F100" i="8"/>
  <c r="F99" i="8"/>
  <c r="F98" i="8"/>
  <c r="F97" i="8"/>
  <c r="F19" i="8"/>
  <c r="C7" i="8"/>
  <c r="E227" i="8"/>
  <c r="F228" i="8" s="1"/>
  <c r="E161" i="8"/>
  <c r="F162" i="8" s="1"/>
  <c r="E95" i="8"/>
  <c r="F96" i="8" s="1"/>
  <c r="F42" i="8"/>
  <c r="F194" i="8"/>
  <c r="F191" i="8"/>
  <c r="F188" i="8"/>
  <c r="F185" i="8"/>
  <c r="F18" i="8"/>
  <c r="F15" i="8"/>
  <c r="F12" i="8"/>
  <c r="F9" i="8"/>
  <c r="F174" i="8"/>
  <c r="F14" i="8"/>
  <c r="F258" i="8"/>
  <c r="F255" i="8"/>
  <c r="F252" i="8"/>
  <c r="F197" i="8"/>
  <c r="F126" i="8"/>
  <c r="F123" i="8"/>
  <c r="F120" i="8"/>
  <c r="F21" i="8"/>
  <c r="F187" i="8"/>
  <c r="F260" i="8"/>
  <c r="F257" i="8"/>
  <c r="F254" i="8"/>
  <c r="F251" i="8"/>
  <c r="F128" i="8"/>
  <c r="F125" i="8"/>
  <c r="F122" i="8"/>
  <c r="F119" i="8"/>
  <c r="F263" i="8"/>
  <c r="F192" i="8"/>
  <c r="F189" i="8"/>
  <c r="F186" i="8"/>
  <c r="F131" i="8"/>
  <c r="E29" i="8"/>
  <c r="F30" i="8" s="1"/>
  <c r="F16" i="8"/>
  <c r="F13" i="8"/>
  <c r="F10" i="8"/>
  <c r="F283" i="8"/>
  <c r="F193" i="8"/>
  <c r="F17" i="8"/>
  <c r="F259" i="8"/>
  <c r="F256" i="8"/>
  <c r="F253" i="8"/>
  <c r="F240" i="8"/>
  <c r="F217" i="8"/>
  <c r="F127" i="8"/>
  <c r="F124" i="8"/>
  <c r="F121" i="8"/>
  <c r="F108" i="8"/>
  <c r="F190" i="8"/>
  <c r="F151" i="8"/>
  <c r="F11" i="8"/>
  <c r="H63" i="8"/>
  <c r="H52" i="8"/>
  <c r="H87" i="8"/>
  <c r="H65" i="8"/>
  <c r="H62" i="8"/>
  <c r="H61" i="8"/>
  <c r="H60" i="8"/>
  <c r="H59" i="8"/>
  <c r="H58" i="8"/>
  <c r="H57" i="8"/>
  <c r="H56" i="8"/>
  <c r="H55" i="8"/>
  <c r="H54" i="8"/>
  <c r="H53" i="8"/>
  <c r="H64" i="8"/>
  <c r="F65" i="10"/>
  <c r="F62" i="10"/>
  <c r="F61" i="10"/>
  <c r="F60" i="10"/>
  <c r="F59" i="10"/>
  <c r="F58" i="10"/>
  <c r="F57" i="10"/>
  <c r="F56" i="10"/>
  <c r="F55" i="10"/>
  <c r="F54" i="10"/>
  <c r="F53" i="10"/>
  <c r="F52" i="10"/>
  <c r="F64" i="10"/>
  <c r="F63" i="10"/>
  <c r="C51" i="10"/>
  <c r="D52" i="10" s="1"/>
  <c r="I57" i="12"/>
  <c r="L57" i="12"/>
  <c r="K57" i="12"/>
  <c r="J57" i="12"/>
  <c r="E73" i="10"/>
  <c r="H86" i="10"/>
  <c r="H87" i="10"/>
  <c r="H84" i="10"/>
  <c r="H83" i="10"/>
  <c r="H82" i="10"/>
  <c r="H81" i="10"/>
  <c r="H80" i="10"/>
  <c r="H79" i="10"/>
  <c r="H78" i="10"/>
  <c r="H77" i="10"/>
  <c r="H76" i="10"/>
  <c r="H75" i="10"/>
  <c r="H85" i="10"/>
  <c r="H74" i="10"/>
  <c r="F74" i="10" l="1"/>
  <c r="F85" i="10"/>
  <c r="C73" i="10"/>
  <c r="D74" i="10" s="1"/>
  <c r="F86" i="10"/>
  <c r="F87" i="10"/>
  <c r="F84" i="10"/>
  <c r="F83" i="10"/>
  <c r="F82" i="10"/>
  <c r="F81" i="10"/>
  <c r="F80" i="10"/>
  <c r="F79" i="10"/>
  <c r="F78" i="10"/>
  <c r="F77" i="10"/>
  <c r="F76" i="10"/>
  <c r="F75" i="10"/>
  <c r="C227" i="8"/>
  <c r="D228" i="8" s="1"/>
  <c r="C161" i="8"/>
  <c r="D162" i="8" s="1"/>
  <c r="C95" i="8"/>
  <c r="D96" i="8" s="1"/>
  <c r="C73" i="8"/>
  <c r="D74" i="8" s="1"/>
  <c r="C29" i="8"/>
  <c r="D30" i="8" s="1"/>
  <c r="C249" i="8"/>
  <c r="D250" i="8" s="1"/>
  <c r="C183" i="8"/>
  <c r="D184" i="8" s="1"/>
  <c r="C117" i="8"/>
  <c r="D118" i="8" s="1"/>
  <c r="D8" i="8"/>
  <c r="C271" i="8"/>
  <c r="D272" i="8" s="1"/>
  <c r="C139" i="8"/>
  <c r="D140" i="8" s="1"/>
  <c r="C51" i="8"/>
  <c r="C205" i="8"/>
  <c r="D206" i="8" s="1"/>
  <c r="F65" i="8"/>
  <c r="F62" i="8"/>
  <c r="F61" i="8"/>
  <c r="F60" i="8"/>
  <c r="F59" i="8"/>
  <c r="F58" i="8"/>
  <c r="F57" i="8"/>
  <c r="F56" i="8"/>
  <c r="F55" i="8"/>
  <c r="F54" i="8"/>
  <c r="F53" i="8"/>
  <c r="F52" i="8"/>
  <c r="F64" i="8"/>
  <c r="F87" i="8"/>
  <c r="F63" i="8"/>
  <c r="F74" i="8"/>
  <c r="F85" i="8"/>
  <c r="F86" i="8"/>
  <c r="F84" i="8"/>
  <c r="F83" i="8"/>
  <c r="F82" i="8"/>
  <c r="F81" i="8"/>
  <c r="F80" i="8"/>
  <c r="F79" i="8"/>
  <c r="F78" i="8"/>
  <c r="F77" i="8"/>
  <c r="F76" i="8"/>
  <c r="F75" i="8"/>
  <c r="F20" i="10"/>
  <c r="F8" i="10"/>
  <c r="F19" i="10"/>
  <c r="C7" i="10"/>
  <c r="F16" i="10"/>
  <c r="F13" i="10"/>
  <c r="F10" i="10"/>
  <c r="F15" i="10"/>
  <c r="F9" i="10"/>
  <c r="F21" i="10"/>
  <c r="F17" i="10"/>
  <c r="F14" i="10"/>
  <c r="F11" i="10"/>
  <c r="F18" i="10"/>
  <c r="F12" i="10"/>
  <c r="D30" i="10"/>
  <c r="C227" i="24"/>
  <c r="D228" i="24" s="1"/>
  <c r="C161" i="24"/>
  <c r="D162" i="24" s="1"/>
  <c r="C29" i="24"/>
  <c r="D30" i="24" s="1"/>
  <c r="C253" i="24"/>
  <c r="D254" i="24" s="1"/>
  <c r="C183" i="24"/>
  <c r="D184" i="24" s="1"/>
  <c r="C117" i="24"/>
  <c r="D118" i="24" s="1"/>
  <c r="C73" i="24"/>
  <c r="D74" i="24" s="1"/>
  <c r="D8" i="24"/>
  <c r="C205" i="24"/>
  <c r="D206" i="24" s="1"/>
  <c r="C95" i="24"/>
  <c r="D96" i="24" s="1"/>
  <c r="C51" i="24"/>
  <c r="C139" i="24"/>
  <c r="D140" i="24" s="1"/>
  <c r="F87" i="24"/>
  <c r="F61" i="24"/>
  <c r="F58" i="24"/>
  <c r="F55" i="24"/>
  <c r="F64" i="24"/>
  <c r="F63" i="24"/>
  <c r="F62" i="24"/>
  <c r="F59" i="24"/>
  <c r="F56" i="24"/>
  <c r="F53" i="24"/>
  <c r="F65" i="24"/>
  <c r="F60" i="24"/>
  <c r="F54" i="24"/>
  <c r="F57" i="24"/>
  <c r="F219" i="24"/>
  <c r="F216" i="24"/>
  <c r="F215" i="24"/>
  <c r="F214" i="24"/>
  <c r="F213" i="24"/>
  <c r="F212" i="24"/>
  <c r="F211" i="24"/>
  <c r="F210" i="24"/>
  <c r="F209" i="24"/>
  <c r="F208" i="24"/>
  <c r="F207" i="24"/>
  <c r="F218" i="24"/>
  <c r="F217" i="24"/>
  <c r="F153" i="24"/>
  <c r="F150" i="24"/>
  <c r="F149" i="24"/>
  <c r="F148" i="24"/>
  <c r="F147" i="24"/>
  <c r="F146" i="24"/>
  <c r="F145" i="24"/>
  <c r="F144" i="24"/>
  <c r="F143" i="24"/>
  <c r="F142" i="24"/>
  <c r="F141" i="24"/>
  <c r="F152" i="24"/>
  <c r="F151" i="24"/>
  <c r="F41" i="24"/>
  <c r="F42" i="24"/>
  <c r="F43" i="24"/>
  <c r="F38" i="24"/>
  <c r="F35" i="24"/>
  <c r="F32" i="24"/>
  <c r="F39" i="24"/>
  <c r="F36" i="24"/>
  <c r="F33" i="24"/>
  <c r="F37" i="24"/>
  <c r="F34" i="24"/>
  <c r="F40" i="24"/>
  <c r="F31" i="24"/>
  <c r="F86" i="24"/>
  <c r="F84" i="24"/>
  <c r="F83" i="24"/>
  <c r="F82" i="24"/>
  <c r="F81" i="24"/>
  <c r="F80" i="24"/>
  <c r="F79" i="24"/>
  <c r="F78" i="24"/>
  <c r="F77" i="24"/>
  <c r="F76" i="24"/>
  <c r="F75" i="24"/>
  <c r="F85" i="24"/>
  <c r="F105" i="24"/>
  <c r="F102" i="24"/>
  <c r="F99" i="24"/>
  <c r="F109" i="24"/>
  <c r="F104" i="24"/>
  <c r="F101" i="24"/>
  <c r="F98" i="24"/>
  <c r="F108" i="24"/>
  <c r="F107" i="24"/>
  <c r="F100" i="24"/>
  <c r="F106" i="24"/>
  <c r="F97" i="24"/>
  <c r="F103" i="24"/>
  <c r="F173" i="24"/>
  <c r="F175" i="24"/>
  <c r="F172" i="24"/>
  <c r="F171" i="24"/>
  <c r="F170" i="24"/>
  <c r="F169" i="24"/>
  <c r="F168" i="24"/>
  <c r="F167" i="24"/>
  <c r="F166" i="24"/>
  <c r="F165" i="24"/>
  <c r="F164" i="24"/>
  <c r="F163" i="24"/>
  <c r="F174" i="24"/>
  <c r="F239" i="24"/>
  <c r="F241" i="24"/>
  <c r="F238" i="24"/>
  <c r="F237" i="24"/>
  <c r="F236" i="24"/>
  <c r="F235" i="24"/>
  <c r="F234" i="24"/>
  <c r="F233" i="24"/>
  <c r="F232" i="24"/>
  <c r="F231" i="24"/>
  <c r="F230" i="24"/>
  <c r="F229" i="24"/>
  <c r="F240" i="24"/>
  <c r="F130" i="24"/>
  <c r="F129" i="24"/>
  <c r="F128" i="24"/>
  <c r="F127" i="24"/>
  <c r="F131" i="24"/>
  <c r="F126" i="24"/>
  <c r="F123" i="24"/>
  <c r="F120" i="24"/>
  <c r="F125" i="24"/>
  <c r="F122" i="24"/>
  <c r="F119" i="24"/>
  <c r="F124" i="24"/>
  <c r="F121" i="24"/>
  <c r="F196" i="24"/>
  <c r="F195" i="24"/>
  <c r="F193" i="24"/>
  <c r="F190" i="24"/>
  <c r="F187" i="24"/>
  <c r="F197" i="24"/>
  <c r="F192" i="24"/>
  <c r="F189" i="24"/>
  <c r="F186" i="24"/>
  <c r="F194" i="24"/>
  <c r="F185" i="24"/>
  <c r="F191" i="24"/>
  <c r="F188" i="24"/>
  <c r="F266" i="24"/>
  <c r="F265" i="24"/>
  <c r="F267" i="24"/>
  <c r="F262" i="24"/>
  <c r="F259" i="24"/>
  <c r="F256" i="24"/>
  <c r="F264" i="24"/>
  <c r="F261" i="24"/>
  <c r="F258" i="24"/>
  <c r="F255" i="24"/>
  <c r="F263" i="24"/>
  <c r="F257" i="24"/>
  <c r="F260" i="24"/>
  <c r="C161" i="19"/>
  <c r="I161" i="19" s="1"/>
  <c r="C149" i="19"/>
  <c r="I149" i="19" s="1"/>
  <c r="C147" i="19"/>
  <c r="I147" i="19" s="1"/>
  <c r="C135" i="19"/>
  <c r="I135" i="19" s="1"/>
  <c r="C133" i="19"/>
  <c r="I133" i="19" s="1"/>
  <c r="C121" i="19"/>
  <c r="I121" i="19" s="1"/>
  <c r="C119" i="19"/>
  <c r="I119" i="19" s="1"/>
  <c r="C107" i="19"/>
  <c r="I107" i="19" s="1"/>
  <c r="C105" i="19"/>
  <c r="I105" i="19" s="1"/>
  <c r="C93" i="19"/>
  <c r="I93" i="19" s="1"/>
  <c r="C91" i="19"/>
  <c r="I91" i="19" s="1"/>
  <c r="C79" i="19"/>
  <c r="I79" i="19" s="1"/>
  <c r="C77" i="19"/>
  <c r="I77" i="19" s="1"/>
  <c r="C65" i="19"/>
  <c r="I65" i="19" s="1"/>
  <c r="C63" i="19"/>
  <c r="I63" i="19" s="1"/>
  <c r="C51" i="19"/>
  <c r="I51" i="19" s="1"/>
  <c r="C49" i="19"/>
  <c r="I49" i="19" s="1"/>
  <c r="C37" i="19"/>
  <c r="I37" i="19" s="1"/>
  <c r="C35" i="19"/>
  <c r="I35" i="19" s="1"/>
  <c r="C23" i="19"/>
  <c r="I23" i="19" s="1"/>
  <c r="C21" i="19"/>
  <c r="I21" i="19" s="1"/>
  <c r="C9" i="19"/>
  <c r="I9" i="19" s="1"/>
  <c r="D52" i="24" l="1"/>
  <c r="D8" i="10"/>
  <c r="D52" i="8"/>
</calcChain>
</file>

<file path=xl/sharedStrings.xml><?xml version="1.0" encoding="utf-8"?>
<sst xmlns="http://schemas.openxmlformats.org/spreadsheetml/2006/main" count="5726" uniqueCount="322">
  <si>
    <t>Total</t>
  </si>
  <si>
    <t>Estadísticas indicadores alojativos</t>
  </si>
  <si>
    <t>Comparativa Canarias e islas</t>
  </si>
  <si>
    <t>Resumen indicadores municipios Tenerife</t>
  </si>
  <si>
    <t>Oferta alojativa en funcionamiento</t>
  </si>
  <si>
    <t>Plazas alojativas Tenerife y municipios</t>
  </si>
  <si>
    <t>Establecimientos alojativos Tenerife y municipios</t>
  </si>
  <si>
    <t>Indicadores alojativos hotel + apartamento</t>
  </si>
  <si>
    <t>Viajeros entrados</t>
  </si>
  <si>
    <t>Viajeros peninsulares entrados en los hoteles y apartamentos de Tenerife por municipio de alojamiento - acumulado</t>
  </si>
  <si>
    <t xml:space="preserve">Viajeros entrados en los establecimientos alojativos de Tenerife por municipio y categoría </t>
  </si>
  <si>
    <t>Viajeros entrados en los establecimientos alojativos de Tenerife según lugar de residencia y municipio de alojamiento - año</t>
  </si>
  <si>
    <t>Viajeros entrados en los establecimientos alojativos de Tenerife según lugar de residencia y municipio de alojamiento - mes</t>
  </si>
  <si>
    <t>Viajeros entrados en los establecimientos alojativos de Tenerife según lugar de residencia y municipio de alojamiento - acumulado</t>
  </si>
  <si>
    <t>Viajeros entrados en los hoteles de Tenerife según lugar de residencia y municipio de alojamiento - acumulado</t>
  </si>
  <si>
    <t>Viajeros entrados en los apartamentos de Tenerife según lugar de residencia y municipio de alojamiento - acumulado</t>
  </si>
  <si>
    <t>Viajeros entrados en los establecimientos hoteleros de Tenerife según lugar de residencia, categoría y municipio del alojamiento - acumulado</t>
  </si>
  <si>
    <t>Viajeros entrados en los establecimientos hoteleros de Tenerife según lugar de residencia, categoría y municipio del alojamiento - año</t>
  </si>
  <si>
    <t>Viajeros alojados</t>
  </si>
  <si>
    <t>Viajeros alojados en los establecimientos alojativos de Tenerife según lugar de residencia y municipio de alojamiento - mes</t>
  </si>
  <si>
    <t>Viajeros alojados en los establecimientos alojativos de Tenerife según lugar de residencia y municipio de alojamiento - acumulado</t>
  </si>
  <si>
    <t>Pernoctaciones</t>
  </si>
  <si>
    <t>Estancia media</t>
  </si>
  <si>
    <t>Tasa de ocupación</t>
  </si>
  <si>
    <t>indicadores rentabilidad</t>
  </si>
  <si>
    <t xml:space="preserve">Indicadores de rentabilidad:Tarifa media diaria (ADR); ingresos por habitación disponible (RevPAR); ingresos totales en los establecimientos alojativos Tenerife por municipio  (hotel + apartamento) </t>
  </si>
  <si>
    <t>Tarifa media diaria (ADR) Tenerife y municipios</t>
  </si>
  <si>
    <t>Ingresos medios por habitación (RevPar) Tenerife y municipios</t>
  </si>
  <si>
    <t>Viajeros españoles entrados en hoteles y apartamentos</t>
  </si>
  <si>
    <t>Viajeros españoles entrados en los hoteles y apartamentos de Tenerife por municipio de alojamiento</t>
  </si>
  <si>
    <t>Viajeros peninsulares entrados en los hoteles y apartamentos de Tenerife por municipio de alojamiento</t>
  </si>
  <si>
    <t>Viajeros canarios entrados en los hoteles y apartamentos de Tenerife por municipio de alojamiento</t>
  </si>
  <si>
    <t>total</t>
  </si>
  <si>
    <t>hoteleros</t>
  </si>
  <si>
    <t>apartamentos</t>
  </si>
  <si>
    <t>Viajeros alojados*</t>
  </si>
  <si>
    <t>Ocupación por plaza</t>
  </si>
  <si>
    <t>Plazas estimadas en el mes</t>
  </si>
  <si>
    <t>*dato publicado ISTAC
FUENTE: Encuestas Alojamientos Turísticos (ISTAC). ELABORACIÓN: Turismo de Tenerife.</t>
  </si>
  <si>
    <t>Plazas estimadas
promedio</t>
  </si>
  <si>
    <t>*dato calculado viajeros alodos periodo=viajeros alojados en enero + SUM(viajeros entrados febrero hasta mes actual)
FUENTE: Encuestas Alojamientos Turísticos (ISTAC). ELABORACIÓN: Turismo de Tenerife.</t>
  </si>
  <si>
    <t>Plazas estimadas
Promedio anual</t>
  </si>
  <si>
    <t>Nota: el ISTAC solo oferce información de desagregada de los municipios que figuran en las tablas. 
Para cualquier consulta contactar con ISTAC a través del correo consultas.istac@gobiernodecanarias.org</t>
  </si>
  <si>
    <t>Resumen de indicadores turísticos municipios turísticos de Tenerife</t>
  </si>
  <si>
    <t>INDICADORES TURÍSTICOS</t>
  </si>
  <si>
    <t>Tenerife</t>
  </si>
  <si>
    <t>Adeje</t>
  </si>
  <si>
    <t>Arona</t>
  </si>
  <si>
    <t>Granadilla de Abona</t>
  </si>
  <si>
    <t>Guía de Isora</t>
  </si>
  <si>
    <t>Puerto de la Cruz</t>
  </si>
  <si>
    <t>San Cristóbal de La Laguna</t>
  </si>
  <si>
    <t>San Miguel de Abona</t>
  </si>
  <si>
    <t>Santa Cruz de Tenerife</t>
  </si>
  <si>
    <t>Santiago del Teide</t>
  </si>
  <si>
    <t>Resto de Tenerife</t>
  </si>
  <si>
    <t>Plazas estimadas del mes</t>
  </si>
  <si>
    <t>FUENTE: Encuestas Alojamientos Turísticos (ISTAC). ELABORACIÓN: Turismo de Tenerife.</t>
  </si>
  <si>
    <t>Resumen de indicadores turísticos Canarias e islas</t>
  </si>
  <si>
    <t>Plazas estimadas
promedio anual</t>
  </si>
  <si>
    <t>Promedio anual de plazas en funcionamiento</t>
  </si>
  <si>
    <t>plazas en funcionamiento en el mes</t>
  </si>
  <si>
    <t>Hotel</t>
  </si>
  <si>
    <t>4, 5 Estrellas</t>
  </si>
  <si>
    <t>1, 2, 3 Estrellas</t>
  </si>
  <si>
    <t>Apartamento</t>
  </si>
  <si>
    <t>Promedio anual de establecimientos en funcionamiento</t>
  </si>
  <si>
    <t>establecimientos en funcionamiento en el mes</t>
  </si>
  <si>
    <t>año 2020: 1.627.003 (-68,0%)</t>
  </si>
  <si>
    <t>acumulado diciembre 2021: 2.384.391 (46,6%)</t>
  </si>
  <si>
    <t>Total lugares de residencia</t>
  </si>
  <si>
    <t>dato</t>
  </si>
  <si>
    <t>ene</t>
  </si>
  <si>
    <t>Enero</t>
  </si>
  <si>
    <t>feb</t>
  </si>
  <si>
    <t>Febrero</t>
  </si>
  <si>
    <t>mar</t>
  </si>
  <si>
    <t>Marzo</t>
  </si>
  <si>
    <t>abr</t>
  </si>
  <si>
    <t>Abril</t>
  </si>
  <si>
    <t>may</t>
  </si>
  <si>
    <t>Mayo</t>
  </si>
  <si>
    <t>jun</t>
  </si>
  <si>
    <t>Junio</t>
  </si>
  <si>
    <t>jul</t>
  </si>
  <si>
    <t>Julio</t>
  </si>
  <si>
    <t>ago</t>
  </si>
  <si>
    <t>Agosto</t>
  </si>
  <si>
    <t>sep</t>
  </si>
  <si>
    <t>Septiembre</t>
  </si>
  <si>
    <t>oct</t>
  </si>
  <si>
    <t>Octubre</t>
  </si>
  <si>
    <t>nov</t>
  </si>
  <si>
    <t>Noviembre</t>
  </si>
  <si>
    <t>dic</t>
  </si>
  <si>
    <t>Diciembre</t>
  </si>
  <si>
    <t>año 2020: 491.164 (-58,4%)</t>
  </si>
  <si>
    <t>acumulado diciembre 2021: 846.190 (72,3%)</t>
  </si>
  <si>
    <t>España</t>
  </si>
  <si>
    <t>Total residentes en España</t>
  </si>
  <si>
    <t>año 2020: 256.364 (-61,2%)</t>
  </si>
  <si>
    <t>acumulado diciembre 2021: 401.165 (56,5%)</t>
  </si>
  <si>
    <t>Península</t>
  </si>
  <si>
    <t>año 2020: 234.800 (-54,8%)</t>
  </si>
  <si>
    <t>acumulado diciembre 2021: 445.025 (89,5%)</t>
  </si>
  <si>
    <t>Canarias</t>
  </si>
  <si>
    <t>año 2020: 1.135.839 (-70,9%)</t>
  </si>
  <si>
    <t>acumulado diciembre 2021: 1.538.201 (35,4%)</t>
  </si>
  <si>
    <t>Mundo (excluida España)</t>
  </si>
  <si>
    <t>Total residentes en el extranjero</t>
  </si>
  <si>
    <t>año 2020: 443.259 (-75,1%)</t>
  </si>
  <si>
    <t>acumulado diciembre 2021: 443.278 (0,0%)</t>
  </si>
  <si>
    <t>Reino Unido</t>
  </si>
  <si>
    <t>año 2020: 140.489 (-72,1%)</t>
  </si>
  <si>
    <t>acumulado diciembre 2021: 218.298 (55,4%)</t>
  </si>
  <si>
    <t>Alemania</t>
  </si>
  <si>
    <t>año 2020: 60.127 (-65,0%)</t>
  </si>
  <si>
    <t>acumulado diciembre 2021: 133.006 (121,2%)</t>
  </si>
  <si>
    <t>Francia</t>
  </si>
  <si>
    <t>año 2020: 55.839 (-58,8%)</t>
  </si>
  <si>
    <t>acumulado diciembre 2021: 93.108 (66,7%)</t>
  </si>
  <si>
    <t>Bélgica</t>
  </si>
  <si>
    <t>junio</t>
  </si>
  <si>
    <t>año 2020: 40.096 (-72,1%)</t>
  </si>
  <si>
    <t>acumulado diciembre 2021: 93.513 (133,2%)</t>
  </si>
  <si>
    <t>Países Bajos</t>
  </si>
  <si>
    <t>año 2020: 36.855 (-72,9%)</t>
  </si>
  <si>
    <t>acumulado diciembre 2021: 74.437 (102,0%)</t>
  </si>
  <si>
    <t>año 2020: 27.669 (-76,0%)</t>
  </si>
  <si>
    <t>acumulado diciembre 2021: 42.846 (54,9%)</t>
  </si>
  <si>
    <t>Dinamarca</t>
  </si>
  <si>
    <t>año 2020: 12.033 (-72,1%)</t>
  </si>
  <si>
    <t>acumulado diciembre 2021: 30.544 (153,8%)</t>
  </si>
  <si>
    <t>Suecia</t>
  </si>
  <si>
    <t>Total categorías</t>
  </si>
  <si>
    <t>var 16/15</t>
  </si>
  <si>
    <t>var 17/16</t>
  </si>
  <si>
    <t>var 18/17</t>
  </si>
  <si>
    <t>var 22/21</t>
  </si>
  <si>
    <t>hoteles</t>
  </si>
  <si>
    <t>viajeros entrados</t>
  </si>
  <si>
    <t>var interanual</t>
  </si>
  <si>
    <t>4, 5 estrellas</t>
  </si>
  <si>
    <t>Evolución de viajeros entrados en los hoteles de 4 estrellas de Tenerife</t>
  </si>
  <si>
    <t>1, 2, 3 estrellas</t>
  </si>
  <si>
    <t>Viajeros entrados en los establecimientos alojativos de Tenerife por municipio y categoría 
(hotel + apartamento)</t>
  </si>
  <si>
    <t>Holanda</t>
  </si>
  <si>
    <t>Otros países</t>
  </si>
  <si>
    <t>Mundo (Excluida España)</t>
  </si>
  <si>
    <t>año 2020: 165.282 (-66,0%)</t>
  </si>
  <si>
    <t>acumulado diciembre 2021: 310.940 (88,1%)</t>
  </si>
  <si>
    <t>4 y 5 estrellas</t>
  </si>
  <si>
    <t>verificar los totales año (2020, 2021) con la publicación porque al no tener plazas en algunos meses por el covid da mal el cálculo del dato, o cuando hay algún mes que no da el dato (probablemente que la muestra sea muy pequeña)</t>
  </si>
  <si>
    <t>cambiar el dato cuando se pase a valores</t>
  </si>
  <si>
    <t>año 2020: 0 (-39,9%)</t>
  </si>
  <si>
    <t>acumulado diciembre 2021: 1 (57,7%)</t>
  </si>
  <si>
    <t>Total establecimientos alojativos (hotel + apartamento)</t>
  </si>
  <si>
    <t>año 2020: 0 (-39,0%)</t>
  </si>
  <si>
    <t>acumulado diciembre 2021: 1 (13,3%)</t>
  </si>
  <si>
    <t>año 2020: 0 (-36,7%)</t>
  </si>
  <si>
    <t>acumulado diciembre 2021: 1 (20,6%)</t>
  </si>
  <si>
    <t>año 2020: 0 (-39,4%)</t>
  </si>
  <si>
    <t>acumulado diciembre 2021: 1 (13,1%)</t>
  </si>
  <si>
    <t>año 2020: 0 (-42,1%)</t>
  </si>
  <si>
    <t>acumulado diciembre 2021: 0 (-6,1%)</t>
  </si>
  <si>
    <t>i</t>
  </si>
  <si>
    <t xml:space="preserve">Tarifa media diaria ADR por habitación en los establecimientos alojativos Tenerife por municipio  (hotel + apartamento) </t>
  </si>
  <si>
    <t>Ingresos por habitación disponible (RevPAR) en los establecimientos alojativos de Tenerife por municipio  (hotel + apartamento)</t>
  </si>
  <si>
    <t>Ingresos totales en los establecimientos alojativos de Tenerife por municipio  (hotel + apartamento)</t>
  </si>
  <si>
    <t>El ADR o Tarifa Media Diaria son los ingresos medios diarios obtenidos por habitación-apartamento ocupado. Los ingresos hacen referencia a aquellos percibidos por los hoteleros por la prestación del servicio de alojamiento, sin incluir otro tipo de servicios que sí pueda ofrecer el establecimiento.</t>
  </si>
  <si>
    <t>El RevPar o Ingreso por Habitación-Apartamento Disponible son los ingresos medios diarios obtenidos por habitación-apartamento disponible. Los ingresos hacen referencia a aquellos percibidos por los hoteleros por la prestación del servicio de alojamiento, sin incluir otro tipo de servicios que sí pueda ofrecer el establecimiento.</t>
  </si>
  <si>
    <t>Los Ingresos totales son el producto del ADR por las habitaciones ocupadas</t>
  </si>
  <si>
    <t>Los datos del acumulado están calculados como la división entre el aumulado de los ingresos y el acumulados de las habitaciones ocupadas</t>
  </si>
  <si>
    <t>Los datos del acumulado están calculados como la división entre el aumulado de los ingresos y el acumulados de las habitaciones disponibles</t>
  </si>
  <si>
    <t xml:space="preserve">Tarifa media diaria ADR por habitación en los establecimientos alojativos Canarias e islas  (hotel + apartamento) </t>
  </si>
  <si>
    <t>Ingresos por habitación disponible (RevPAR) en los establecimientos alojativos Canarias e islas  (hotel + apartamento)</t>
  </si>
  <si>
    <t>Ingresos totales en los establecimientos alojativos Canarias e islas  (hotel + apartamento)</t>
  </si>
  <si>
    <t>Total Turistas</t>
  </si>
  <si>
    <t>Total España</t>
  </si>
  <si>
    <t>Total 
categorías</t>
  </si>
  <si>
    <t>Alojados 
hoteleros</t>
  </si>
  <si>
    <t>5*</t>
  </si>
  <si>
    <t>Residentes en Tenerife</t>
  </si>
  <si>
    <t>4*</t>
  </si>
  <si>
    <t>Residentes resto de Canarias</t>
  </si>
  <si>
    <t>3*</t>
  </si>
  <si>
    <t>1*</t>
  </si>
  <si>
    <t>FUENTE: Desarrollo Económico, Cabildo Insular de Tenerife. ELABORACIÓN: Turismo de Tenerife.</t>
  </si>
  <si>
    <t>Alojados 
extrahoteleros</t>
  </si>
  <si>
    <t>Turismo español alojado en Tenerife por lugar de residencia</t>
  </si>
  <si>
    <t>%/s total España</t>
  </si>
  <si>
    <t>%/ total turistas</t>
  </si>
  <si>
    <t>Var. Interanual</t>
  </si>
  <si>
    <t>diferencia</t>
  </si>
  <si>
    <t>Distribución de viajeros peninsulares entrados en hoteles y apartamentos de Tenerife por lugar categoría del alojamiento</t>
  </si>
  <si>
    <t>Total viajeros españoles</t>
  </si>
  <si>
    <t>Hoteles</t>
  </si>
  <si>
    <t>Apartamentos</t>
  </si>
  <si>
    <t>,</t>
  </si>
  <si>
    <t>Viajeros españoles entrados en los hoteles y apartamentos de Tenerife por tipología y categoría de alojamiento</t>
  </si>
  <si>
    <t xml:space="preserve">Observación: en 2022 no se publica desagregación por categorías
FUENTE: Desarrollo Económico, Cabildo Insular de Tenerife. ELABORACIÓN: Turismo de Tenerife. </t>
  </si>
  <si>
    <t>Total viajeros peninsulares</t>
  </si>
  <si>
    <t>Viajeros peninsulares entrados en los hoteles y apartamentos de Tenerife por tipología y categoría de alojamiento</t>
  </si>
  <si>
    <t>Total viajeros canarios</t>
  </si>
  <si>
    <t>Viajeros canarios entrados en los hoteles y apartamentos de Tenerife por tipología y categoría de alojamiento</t>
  </si>
  <si>
    <t>Distribución de viajeros españoles entrados en hoteles y apartamentos de Tenerife por municipio de alojamiento</t>
  </si>
  <si>
    <t>Total Tenerife</t>
  </si>
  <si>
    <t>Resto de municipios de Tenerife</t>
  </si>
  <si>
    <t>Distribución de viajeros peninsulares entrados en hoteles y apartamentos de Tenerife por municipio de alojamiento</t>
  </si>
  <si>
    <t>Distribución de viajeros canarios entrados en hoteles y apartamentos de Tenerife por municipio de alojamiento</t>
  </si>
  <si>
    <t>Españoles</t>
  </si>
  <si>
    <t>peninsulares</t>
  </si>
  <si>
    <t>Canarios</t>
  </si>
  <si>
    <t>Acumulado septiembre 2025</t>
  </si>
  <si>
    <t>Resumen indicadores Santiago del Teide</t>
  </si>
  <si>
    <t>Evolución mensual de viajeros entrados en Santiago del Teide según lugar de residencia</t>
  </si>
  <si>
    <t>Evolución mensual de viajeros entrados en Santiago del Teide según categoría del establecimiento</t>
  </si>
  <si>
    <t>Evolución anual de viajeros entrados en Santiago del Teide según categoría del establecimiento</t>
  </si>
  <si>
    <t>Evolución mensual de pernoctaciones en Santiago del Teide según lugar de residencia</t>
  </si>
  <si>
    <t>Evolución mensual de pernoctaciones en Santiago del Teide según categoría del establecimiento</t>
  </si>
  <si>
    <t>Evolución mensual de estancia media en Santiago del Teide según lugar de residencia</t>
  </si>
  <si>
    <t>Evolución mensual de estancia media en Santiago del Teide según categoría del establecimiento</t>
  </si>
  <si>
    <t>Evolución mensual de tasa de ocupación en Santiago del Teide según categoría del establecimiento</t>
  </si>
  <si>
    <t>Viajeros españoles entrados en los hoteles y apartamentos de Santiago del Teide según lugar de residencia - acumulado</t>
  </si>
  <si>
    <t>Viajeros españoles entrados en los hoteles y apartamentos de Santiago del Teide por tipología y categoría de alojamiento - acumulado</t>
  </si>
  <si>
    <t>Viajeros peninsulares entrados en los hoteles y apartamentos de Santiago del Teide por tipología y categoría de alojamiento - acumulado</t>
  </si>
  <si>
    <t>Viajeros canarios entrados en los hoteles y apartamentos de Santiago del Teide por tipología y categoría de alojamiento - acumulado</t>
  </si>
  <si>
    <t>Resumen de indicadores turísticos de Tenerife-Santiago del Teide</t>
  </si>
  <si>
    <t>septiembre 2021</t>
  </si>
  <si>
    <t>septiembre 2022</t>
  </si>
  <si>
    <t>septiembre 2023</t>
  </si>
  <si>
    <t>septiembre 2024</t>
  </si>
  <si>
    <t>septiembre 2025</t>
  </si>
  <si>
    <t>acumulado a septiembre 2021</t>
  </si>
  <si>
    <t>acumulado a septiembre 2022</t>
  </si>
  <si>
    <t>acumulado a septiembre 2023</t>
  </si>
  <si>
    <t>acumulado a septiembre 2024</t>
  </si>
  <si>
    <t>acumulado a septiembre 2025</t>
  </si>
  <si>
    <t>Viajeros  entrados en los establecimientos alojativos de Santiago del Teide 
(hotel + apartamento)</t>
  </si>
  <si>
    <t>Viajeros españoles entrados en los establecimientos alojativos de Santiago del Teide 
(hotel + apartamento)</t>
  </si>
  <si>
    <t>Viajeros peninsulares entrados en los establecimientos alojativos de Santiago del Teide 
(hotel + apartamento)</t>
  </si>
  <si>
    <t>Viajeros canarios entrados en los establecimientos alojativos de Santiago del Teide 
(hotel + apartamento)</t>
  </si>
  <si>
    <t>Viajeros extranjeros entrados en los establecimientos alojativos de Santiago del Teide 
(hotel + apartamento)</t>
  </si>
  <si>
    <t>Viajeros británicos entrados en los establecimientos alojativos de Santiago del Teide 
(hotel + apartamento)</t>
  </si>
  <si>
    <t>Viajeros alemanes entrados en los establecimientos alojativos de Santiago del Teide 
(hotel + apartamento)</t>
  </si>
  <si>
    <t>Viajeros franceses entrados en los establecimientos alojativos de Santiago del Teide 
(hotel + apartamento)</t>
  </si>
  <si>
    <t>Viajeros belgas entrados en los establecimientos alojativos de Santiago del Teide 
(hotel + apartamento)</t>
  </si>
  <si>
    <t>Viajeros holandeses entrados en los establecimientos alojativos de Santiago del Teide 
(hotel + apartamento)</t>
  </si>
  <si>
    <t>Viajeros daneses entrados en los establecimientos alojativos de Santiago del Teide 
(hotel + apartamento)</t>
  </si>
  <si>
    <t>Viajeros suecos entrados en los establecimientos alojativos de Santiago del Teide 
(hotel + apartamento)</t>
  </si>
  <si>
    <t>var 23/22</t>
  </si>
  <si>
    <t>var 24/23</t>
  </si>
  <si>
    <t>-</t>
  </si>
  <si>
    <t>Viajeros entrados en los establecimientos alojativos de Santiago del Teide 
(hotel + apartamento)</t>
  </si>
  <si>
    <t>Viajeros entrados en los hoteles de Santiago del Teide</t>
  </si>
  <si>
    <t>Viajeros entrados en los hoteles de 4, 5 estrellas Santiago del Teide</t>
  </si>
  <si>
    <t>Viajeros entrados en los hoteles de 1, 2, 3 estrellas Santiago del Teide</t>
  </si>
  <si>
    <t>Viajeros entrados en los apartamentos de Santiago del Teide</t>
  </si>
  <si>
    <t>Evolución de viajeros entrados en los establecimientos alojativos de Santiago del Teide 
(hotel + apartamento)</t>
  </si>
  <si>
    <t>Evolución de viajeros entrados en los hoteles de Santiago del Teide</t>
  </si>
  <si>
    <t>Evolución de viajeros entrados en los hoteles de 4, 5 estrellas de Santiago del Teide</t>
  </si>
  <si>
    <t>Evolución de viajeros entrados en los apartamentos de Santiago del Teide</t>
  </si>
  <si>
    <t>acumulado a septiembre 2020</t>
  </si>
  <si>
    <t>septiembre 2020</t>
  </si>
  <si>
    <t>Viajeros entrados en los establecimientos alojativos de Santiago del Teide según lugar de residencia (hotel + apartamento)</t>
  </si>
  <si>
    <t>acumulado septiembre 2020</t>
  </si>
  <si>
    <t>acumulado septiembre 2021</t>
  </si>
  <si>
    <t>acumulado septiembre 2022</t>
  </si>
  <si>
    <t>acumulado septiembre 2023</t>
  </si>
  <si>
    <t>acumulado septiembre 2024</t>
  </si>
  <si>
    <t>acumulado septiembre 2025</t>
  </si>
  <si>
    <t>Viajeros entrados en los hoteles de Santiago del Teide según lugar de residencia (hotel + apartamento)</t>
  </si>
  <si>
    <t>Viajeros entrados en los apartamentos de Santiago del Teide según lugar de residencia (hotel + apartamento)</t>
  </si>
  <si>
    <t>Viajeros alojados en los establecimientos alojativos de Santiago del Teide según lugar de residencia (hotel + apartamento)</t>
  </si>
  <si>
    <t>acumulado septiembre 2019</t>
  </si>
  <si>
    <t>Pernoctaciones realizadas por los turistas en los establecimientos alojativos de Santiago del Teide (hotel + apartamento)</t>
  </si>
  <si>
    <t>Pernoctaciones realizadas por los turistas españoles en los establecimientos alojativos de Santiago del Teide (hotel + apartamento)</t>
  </si>
  <si>
    <t>var 25/24</t>
  </si>
  <si>
    <t>Pernoctaciones realizadas por los procedentes de Península en los establecimientos alojativos de Santiago del Teide (hotel + apartamento)</t>
  </si>
  <si>
    <t>Pernoctaciones realizadas por los procedentes de Canarias en los establecimientos alojativos de Santiago del Teide (hotel + apartamento)</t>
  </si>
  <si>
    <t>Pernoctaciones realizadas por los procedentes de Total residentes en el extranjero en los establecimientos alojativos de Santiago del Teide (hotel + apartamento)</t>
  </si>
  <si>
    <t>Pernoctaciones realizadas por los procedentes de Reino Unido en los establecimientos alojativos de Santiago del Teide (hotel + apartamento)</t>
  </si>
  <si>
    <t>Pernoctaciones realizadas por los procedentes de Alemania en los establecimientos alojativos de Santiago del Teide (hotel + apartamento)</t>
  </si>
  <si>
    <t>Pernoctaciones realizadas por los procedentes de Francia en los establecimientos alojativos de Santiago del Teide (hotel + apartamento)</t>
  </si>
  <si>
    <t>Pernoctaciones realizadas por los procedentes de Bélgica en los establecimientos alojativos de Santiago del Teide (hotel + apartamento)</t>
  </si>
  <si>
    <t>Pernoctaciones realizadas por los procedentes de Países Bajos en los establecimientos alojativos de Santiago del Teide (hotel + apartamento)</t>
  </si>
  <si>
    <t>Pernoctaciones realizadas por los procedentes de Dinamarca en los establecimientos alojativos de Santiago del Teide (hotel + apartamento)</t>
  </si>
  <si>
    <t>Pernoctaciones realizadas por los procedentes de Suecia en los establecimientos alojativos de Santiago del Teide (hotel + apartamento)</t>
  </si>
  <si>
    <t>Pernoctaciones realizadas por los turistas en los hoteles de Santiago del Teide</t>
  </si>
  <si>
    <t>Pernoctaciones realizadas por los turistas en los hoteles de 4 y 5 estrellas de Santiago del Teide</t>
  </si>
  <si>
    <t>Pernoctaciones realizadas por los turistas en los hoteles de 1, 2, 3 estrellas de Santiago del Teide</t>
  </si>
  <si>
    <t>Pernoctaciones realizadas por los turistas en los apartamentos de Santiago del Teide</t>
  </si>
  <si>
    <t>Estancia Media en los establecimientos alojativos de Santiago del Teide
(hotel + apartamento)</t>
  </si>
  <si>
    <t>Estancia media de los viajeros españoles entrados en los establecimientos alojativos de Santiago del Teide (hotel + apartamento)</t>
  </si>
  <si>
    <t>Estancia media de los viajeros peninsulares entrados en los establecimientos alojativos de Santiago del Teide (hotel + apartamento)</t>
  </si>
  <si>
    <t>Estancia media de los viajeros canarios entrados en los establecimientos alojativos de Santiago del Teide (hotel + apartamento)</t>
  </si>
  <si>
    <t>Estancia media de los viajeros extranjeros entrados en los establecimientos alojativos de Santiago del Teide (hotel + apartamento)</t>
  </si>
  <si>
    <t>Estancia media de los viajeros británicos entrados en los establecimientos alojativos de Santiago del Teide (hotel + apartamento)</t>
  </si>
  <si>
    <t>Estancia media de los viajeros alemanes entrados en los establecimientos alojativos de Santiago del Teide (hotel + apartamento)</t>
  </si>
  <si>
    <t>Estancia media de los viajeros franceses entrados en los establecimientos alojativos de Santiago del Teide (hotel + apartamento)</t>
  </si>
  <si>
    <t>Estancia media de los viajeros belgas entrados en los establecimientos alojativos de Santiago del Teide (hotel + apartamento)</t>
  </si>
  <si>
    <t>Estancia media de los viajeros holandeses entrados en los establecimientos alojativos de Santiago del Teide (hotel + apartamento)</t>
  </si>
  <si>
    <t>Estancia media de los viajeros daneses entrados en los establecimientos alojativos de Santiago del Teide (hotel + apartamento)</t>
  </si>
  <si>
    <t>Estancia media de los viajeros suecos entrados en los establecimientos alojativos de Santiago del Teide (hotel + apartamento)</t>
  </si>
  <si>
    <t>Estancia Media en los hoteles de Santiago del Teide</t>
  </si>
  <si>
    <t>Estancia Media en los hoteles de 4, 5 estrellas de Santiago del Teide</t>
  </si>
  <si>
    <t>Estancia Media en los hoteles de 1, 2, 3 Estrellas de Santiago del Teide</t>
  </si>
  <si>
    <t>Estancia Media en los apartamentos de Santiago del Teide</t>
  </si>
  <si>
    <t>Tasa de ocupación por plaza en los establecimientos alojativos de Santiago del Teide
(hotel + apartamento)</t>
  </si>
  <si>
    <t>Tasa de ocupación por plaza en los hoteles de Santiago del Teide</t>
  </si>
  <si>
    <t>Tasa de ocupación por plaza en los hoteles de 4, 5 Estrellas de Santiago del Teide</t>
  </si>
  <si>
    <t>Tasa de ocupación por plaza en los hoteles de 1, 2, 3 Estrellas de Santiago del Teide</t>
  </si>
  <si>
    <t>Tasa de ocupación por plaza en los apartamentos de Santiago del Teide</t>
  </si>
  <si>
    <t>Distribución de viajeros españoles entrados en hoteles y apartamentos de Santiago del Teide  por lugar de residencia</t>
  </si>
  <si>
    <t>Viajeros españoles entrados en los hoteles y apartamentos de Santiago del Teide según lugar de residencia</t>
  </si>
  <si>
    <t>Viajeros españoles entrados en los hoteles y apartamentos de Santiago del Teide por tipología y categoría de alojamiento</t>
  </si>
  <si>
    <t>Viajeros peninsulares entrados en los hoteles y apartamentos de Santiago del Teide por tipología y categoría de alojamiento</t>
  </si>
  <si>
    <t>Viajeros canarios entrados en los hoteles y apartamentos de Santiago del Teide por tipología y categoría de alojamiento</t>
  </si>
  <si>
    <t>Evolución de viajeros españoles entrados en los establecimientos alojativos de Santiago del Teide
(hotel + apartamento)</t>
  </si>
  <si>
    <t>Evolución de viajeros peninsulares entrados en los establecimientos alojativos de Santiago del Teide
(hotel + apartamento)</t>
  </si>
  <si>
    <t>Evolución de viajeros canarios entrados en los establecimientos alojativos de Santiago del Teide
(hotel + apartamento)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</si>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</sst>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.0\ &quot;€&quot;"/>
    <numFmt numFmtId="166" formatCode="#,##0\ &quot;€&quot;"/>
    <numFmt numFmtId="167" formatCode="#,##0.00\ &quot;€&quot;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8"/>
      <color theme="1" tint="0.34998626667073579"/>
      <name val="Calibri"/>
      <family val="2"/>
      <scheme val="minor"/>
    </font>
    <font>
      <b/>
      <sz val="18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b/>
      <sz val="14"/>
      <color theme="9"/>
      <name val="Calibri"/>
      <family val="2"/>
      <scheme val="minor"/>
    </font>
    <font>
      <sz val="16"/>
      <color theme="1" tint="0.34998626667073579"/>
      <name val="Calibri"/>
      <family val="2"/>
      <scheme val="minor"/>
    </font>
    <font>
      <sz val="9"/>
      <color theme="1" tint="0.34998626667073579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sz val="10"/>
      <name val="Arial"/>
      <family val="2"/>
    </font>
    <font>
      <b/>
      <sz val="12"/>
      <color theme="9"/>
      <name val="Calibri"/>
      <family val="2"/>
      <scheme val="minor"/>
    </font>
    <font>
      <sz val="18"/>
      <color rgb="FFFF0000"/>
      <name val="Calibri"/>
      <family val="2"/>
      <scheme val="minor"/>
    </font>
    <font>
      <sz val="12"/>
      <color theme="9"/>
      <name val="Calibri"/>
      <family val="2"/>
      <scheme val="minor"/>
    </font>
    <font>
      <sz val="18"/>
      <color theme="1" tint="0.34998626667073579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9F9F9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ck">
        <color theme="9"/>
      </bottom>
      <diagonal/>
    </border>
    <border>
      <left/>
      <right/>
      <top/>
      <bottom style="medium">
        <color theme="0" tint="-0.24994659260841701"/>
      </bottom>
      <diagonal/>
    </border>
    <border>
      <left/>
      <right/>
      <top/>
      <bottom style="medium">
        <color theme="9"/>
      </bottom>
      <diagonal/>
    </border>
    <border>
      <left style="medium">
        <color theme="0"/>
      </left>
      <right style="medium">
        <color theme="0"/>
      </right>
      <top/>
      <bottom style="thin">
        <color theme="9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 style="medium">
        <color theme="9"/>
      </top>
      <bottom/>
      <diagonal/>
    </border>
    <border>
      <left/>
      <right/>
      <top/>
      <bottom style="medium">
        <color theme="0"/>
      </bottom>
      <diagonal/>
    </border>
    <border>
      <left/>
      <right/>
      <top/>
      <bottom style="thin">
        <color theme="9" tint="-0.24994659260841701"/>
      </bottom>
      <diagonal/>
    </border>
    <border>
      <left style="thin">
        <color theme="0" tint="-0.14996795556505021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3"/>
      </top>
      <bottom style="thin">
        <color theme="1" tint="0.499984740745262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medium">
        <color theme="0"/>
      </right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 style="thick">
        <color theme="0" tint="-0.14981536301767021"/>
      </left>
      <right/>
      <top style="thick">
        <color theme="0" tint="-0.14981536301767021"/>
      </top>
      <bottom style="thick">
        <color theme="0" tint="-0.14981536301767021"/>
      </bottom>
      <diagonal/>
    </border>
    <border>
      <left/>
      <right/>
      <top style="thick">
        <color theme="0" tint="-0.14981536301767021"/>
      </top>
      <bottom style="thick">
        <color theme="0" tint="-0.14981536301767021"/>
      </bottom>
      <diagonal/>
    </border>
    <border>
      <left/>
      <right style="thin">
        <color theme="0" tint="-0.14993743705557422"/>
      </right>
      <top style="thick">
        <color theme="0" tint="-0.14981536301767021"/>
      </top>
      <bottom style="thick">
        <color theme="0" tint="-0.14981536301767021"/>
      </bottom>
      <diagonal/>
    </border>
    <border>
      <left style="thin">
        <color theme="0" tint="-0.14993743705557422"/>
      </left>
      <right/>
      <top style="thick">
        <color theme="0" tint="-0.14981536301767021"/>
      </top>
      <bottom style="thick">
        <color theme="0" tint="-0.14981536301767021"/>
      </bottom>
      <diagonal/>
    </border>
    <border>
      <left style="thick">
        <color theme="0" tint="-0.1498458815271462"/>
      </left>
      <right style="medium">
        <color theme="0"/>
      </right>
      <top/>
      <bottom style="medium">
        <color theme="0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medium">
        <color theme="0"/>
      </bottom>
      <diagonal/>
    </border>
    <border>
      <left style="thick">
        <color theme="0" tint="-0.14993743705557422"/>
      </left>
      <right style="medium">
        <color theme="0"/>
      </right>
      <top/>
      <bottom style="medium">
        <color theme="0"/>
      </bottom>
      <diagonal/>
    </border>
    <border>
      <left style="thick">
        <color theme="0" tint="-0.1498458815271462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/>
      <right/>
      <top/>
      <bottom style="thin">
        <color theme="9"/>
      </bottom>
      <diagonal/>
    </border>
    <border>
      <left style="thick">
        <color theme="0" tint="-0.1498458815271462"/>
      </left>
      <right/>
      <top/>
      <bottom style="thin">
        <color theme="9"/>
      </bottom>
      <diagonal/>
    </border>
    <border>
      <left/>
      <right style="thin">
        <color theme="0" tint="-0.14996795556505021"/>
      </right>
      <top/>
      <bottom style="thin">
        <color theme="9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 tint="-0.14996795556505021"/>
      </left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dashed">
        <color theme="0" tint="-0.24994659260841701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/>
      </left>
      <right style="medium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dashed">
        <color theme="0" tint="-0.24994659260841701"/>
      </left>
      <right style="dashed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dashed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dashed">
        <color theme="0" tint="-0.34998626667073579"/>
      </right>
      <top/>
      <bottom/>
      <diagonal/>
    </border>
    <border>
      <left style="dashed">
        <color theme="0" tint="-0.34998626667073579"/>
      </left>
      <right style="dashed">
        <color theme="0" tint="-0.34998626667073579"/>
      </right>
      <top/>
      <bottom/>
      <diagonal/>
    </border>
    <border>
      <left/>
      <right style="dashed">
        <color theme="0" tint="-0.34998626667073579"/>
      </right>
      <top/>
      <bottom style="thin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dashed">
        <color theme="0" tint="-0.24994659260841701"/>
      </right>
      <top style="thin">
        <color theme="0" tint="-0.24994659260841701"/>
      </top>
      <bottom/>
      <diagonal/>
    </border>
    <border>
      <left style="dashed">
        <color theme="0" tint="-0.24994659260841701"/>
      </left>
      <right style="dashed">
        <color theme="0" tint="-0.24994659260841701"/>
      </right>
      <top style="thin">
        <color theme="0" tint="-0.24994659260841701"/>
      </top>
      <bottom/>
      <diagonal/>
    </border>
    <border>
      <left/>
      <right style="dashed">
        <color theme="0" tint="-0.34998626667073579"/>
      </right>
      <top style="thin">
        <color theme="0" tint="-0.34998626667073579"/>
      </top>
      <bottom/>
      <diagonal/>
    </border>
    <border>
      <left style="dashed">
        <color theme="0" tint="-0.34998626667073579"/>
      </left>
      <right style="dashed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thin">
        <color theme="0" tint="-0.24994659260841701"/>
      </left>
      <right/>
      <top style="medium">
        <color theme="0"/>
      </top>
      <bottom/>
      <diagonal/>
    </border>
    <border>
      <left/>
      <right/>
      <top/>
      <bottom style="thin">
        <color theme="0" tint="-0.149937437055574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14993743705557422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1" fontId="21" fillId="0" borderId="0">
      <alignment vertical="center"/>
    </xf>
  </cellStyleXfs>
  <cellXfs count="322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8" fillId="0" borderId="1" xfId="0" applyFont="1" applyBorder="1"/>
    <xf numFmtId="0" fontId="9" fillId="0" borderId="0" xfId="2" applyFont="1" applyAlignment="1">
      <alignment horizontal="left" indent="3"/>
    </xf>
    <xf numFmtId="0" fontId="10" fillId="0" borderId="2" xfId="2" applyFont="1" applyFill="1" applyBorder="1" applyAlignment="1">
      <alignment horizontal="left" indent="1"/>
    </xf>
    <xf numFmtId="0" fontId="10" fillId="0" borderId="0" xfId="2" applyFont="1" applyFill="1" applyAlignment="1">
      <alignment horizontal="left" indent="1"/>
    </xf>
    <xf numFmtId="0" fontId="4" fillId="0" borderId="0" xfId="2" applyAlignment="1">
      <alignment horizontal="left" indent="3"/>
    </xf>
    <xf numFmtId="0" fontId="9" fillId="2" borderId="0" xfId="2" applyFont="1" applyFill="1" applyAlignment="1">
      <alignment horizontal="left" indent="3"/>
    </xf>
    <xf numFmtId="0" fontId="9" fillId="0" borderId="0" xfId="2" applyFont="1" applyAlignment="1">
      <alignment horizontal="left" wrapText="1" indent="3"/>
    </xf>
    <xf numFmtId="0" fontId="8" fillId="0" borderId="3" xfId="0" applyFont="1" applyBorder="1" applyAlignment="1">
      <alignment horizontal="left" vertical="center" wrapText="1" readingOrder="1"/>
    </xf>
    <xf numFmtId="0" fontId="0" fillId="0" borderId="3" xfId="0" applyBorder="1"/>
    <xf numFmtId="17" fontId="7" fillId="3" borderId="4" xfId="0" applyNumberFormat="1" applyFont="1" applyFill="1" applyBorder="1" applyAlignment="1">
      <alignment horizontal="right" vertical="center" wrapText="1"/>
    </xf>
    <xf numFmtId="0" fontId="7" fillId="3" borderId="5" xfId="0" applyFont="1" applyFill="1" applyBorder="1" applyAlignment="1">
      <alignment horizontal="right" vertical="center" wrapText="1"/>
    </xf>
    <xf numFmtId="0" fontId="11" fillId="4" borderId="6" xfId="0" applyFont="1" applyFill="1" applyBorder="1" applyAlignment="1">
      <alignment horizontal="center" vertical="center" textRotation="90"/>
    </xf>
    <xf numFmtId="0" fontId="7" fillId="4" borderId="7" xfId="0" applyFont="1" applyFill="1" applyBorder="1" applyAlignment="1">
      <alignment horizontal="left" vertical="center"/>
    </xf>
    <xf numFmtId="0" fontId="7" fillId="4" borderId="7" xfId="0" applyFont="1" applyFill="1" applyBorder="1"/>
    <xf numFmtId="3" fontId="7" fillId="4" borderId="7" xfId="0" applyNumberFormat="1" applyFont="1" applyFill="1" applyBorder="1"/>
    <xf numFmtId="164" fontId="7" fillId="4" borderId="7" xfId="1" applyNumberFormat="1" applyFont="1" applyFill="1" applyBorder="1" applyAlignment="1">
      <alignment horizontal="right"/>
    </xf>
    <xf numFmtId="164" fontId="7" fillId="4" borderId="7" xfId="1" applyNumberFormat="1" applyFont="1" applyFill="1" applyBorder="1"/>
    <xf numFmtId="0" fontId="11" fillId="4" borderId="8" xfId="0" applyFont="1" applyFill="1" applyBorder="1" applyAlignment="1">
      <alignment horizontal="center" vertical="center" textRotation="90"/>
    </xf>
    <xf numFmtId="0" fontId="7" fillId="4" borderId="0" xfId="0" applyFont="1" applyFill="1" applyAlignment="1">
      <alignment horizontal="left" vertical="center"/>
    </xf>
    <xf numFmtId="0" fontId="7" fillId="4" borderId="0" xfId="0" applyFont="1" applyFill="1"/>
    <xf numFmtId="3" fontId="7" fillId="4" borderId="0" xfId="0" applyNumberFormat="1" applyFont="1" applyFill="1"/>
    <xf numFmtId="164" fontId="7" fillId="4" borderId="0" xfId="1" applyNumberFormat="1" applyFont="1" applyFill="1" applyAlignment="1">
      <alignment horizontal="right"/>
    </xf>
    <xf numFmtId="164" fontId="7" fillId="4" borderId="0" xfId="1" applyNumberFormat="1" applyFont="1" applyFill="1"/>
    <xf numFmtId="0" fontId="7" fillId="4" borderId="9" xfId="0" applyFont="1" applyFill="1" applyBorder="1" applyAlignment="1">
      <alignment horizontal="left" vertical="center"/>
    </xf>
    <xf numFmtId="0" fontId="7" fillId="4" borderId="9" xfId="0" applyFont="1" applyFill="1" applyBorder="1"/>
    <xf numFmtId="3" fontId="7" fillId="4" borderId="9" xfId="0" applyNumberFormat="1" applyFont="1" applyFill="1" applyBorder="1" applyAlignment="1">
      <alignment horizontal="right"/>
    </xf>
    <xf numFmtId="164" fontId="7" fillId="4" borderId="9" xfId="1" applyNumberFormat="1" applyFont="1" applyFill="1" applyBorder="1" applyAlignment="1">
      <alignment horizontal="right"/>
    </xf>
    <xf numFmtId="0" fontId="7" fillId="0" borderId="7" xfId="0" applyFont="1" applyBorder="1" applyAlignment="1">
      <alignment horizontal="left" vertical="center"/>
    </xf>
    <xf numFmtId="0" fontId="7" fillId="0" borderId="7" xfId="0" applyFont="1" applyBorder="1"/>
    <xf numFmtId="3" fontId="7" fillId="0" borderId="7" xfId="0" applyNumberFormat="1" applyFont="1" applyBorder="1"/>
    <xf numFmtId="164" fontId="7" fillId="0" borderId="7" xfId="1" applyNumberFormat="1" applyFont="1" applyBorder="1" applyAlignment="1">
      <alignment horizontal="right"/>
    </xf>
    <xf numFmtId="0" fontId="7" fillId="0" borderId="0" xfId="0" applyFont="1" applyAlignment="1">
      <alignment horizontal="left" vertical="center"/>
    </xf>
    <xf numFmtId="3" fontId="7" fillId="0" borderId="0" xfId="0" applyNumberFormat="1" applyFont="1"/>
    <xf numFmtId="164" fontId="7" fillId="0" borderId="0" xfId="1" applyNumberFormat="1" applyFont="1" applyAlignment="1">
      <alignment horizontal="right"/>
    </xf>
    <xf numFmtId="164" fontId="7" fillId="0" borderId="0" xfId="1" applyNumberFormat="1" applyFont="1"/>
    <xf numFmtId="0" fontId="7" fillId="0" borderId="9" xfId="0" applyFont="1" applyBorder="1" applyAlignment="1">
      <alignment horizontal="left" vertical="center"/>
    </xf>
    <xf numFmtId="0" fontId="7" fillId="0" borderId="9" xfId="0" applyFont="1" applyBorder="1"/>
    <xf numFmtId="3" fontId="7" fillId="0" borderId="9" xfId="0" applyNumberFormat="1" applyFont="1" applyBorder="1" applyAlignment="1">
      <alignment horizontal="right"/>
    </xf>
    <xf numFmtId="164" fontId="7" fillId="0" borderId="9" xfId="1" applyNumberFormat="1" applyFont="1" applyBorder="1" applyAlignment="1">
      <alignment horizontal="right"/>
    </xf>
    <xf numFmtId="2" fontId="7" fillId="0" borderId="7" xfId="0" applyNumberFormat="1" applyFont="1" applyBorder="1"/>
    <xf numFmtId="164" fontId="7" fillId="0" borderId="7" xfId="1" applyNumberFormat="1" applyFont="1" applyFill="1" applyBorder="1" applyAlignment="1">
      <alignment horizontal="right"/>
    </xf>
    <xf numFmtId="4" fontId="7" fillId="0" borderId="7" xfId="0" applyNumberFormat="1" applyFont="1" applyBorder="1"/>
    <xf numFmtId="164" fontId="7" fillId="0" borderId="7" xfId="1" applyNumberFormat="1" applyFont="1" applyFill="1" applyBorder="1"/>
    <xf numFmtId="2" fontId="7" fillId="0" borderId="0" xfId="0" applyNumberFormat="1" applyFont="1"/>
    <xf numFmtId="164" fontId="7" fillId="0" borderId="0" xfId="1" applyNumberFormat="1" applyFont="1" applyFill="1" applyAlignment="1">
      <alignment horizontal="right"/>
    </xf>
    <xf numFmtId="4" fontId="7" fillId="0" borderId="0" xfId="0" applyNumberFormat="1" applyFont="1"/>
    <xf numFmtId="164" fontId="7" fillId="0" borderId="0" xfId="1" applyNumberFormat="1" applyFont="1" applyFill="1"/>
    <xf numFmtId="2" fontId="7" fillId="0" borderId="9" xfId="0" applyNumberFormat="1" applyFont="1" applyBorder="1" applyAlignment="1">
      <alignment horizontal="right"/>
    </xf>
    <xf numFmtId="0" fontId="7" fillId="4" borderId="7" xfId="0" applyFont="1" applyFill="1" applyBorder="1" applyAlignment="1">
      <alignment horizontal="left" vertical="center" wrapText="1"/>
    </xf>
    <xf numFmtId="4" fontId="7" fillId="4" borderId="7" xfId="0" applyNumberFormat="1" applyFont="1" applyFill="1" applyBorder="1"/>
    <xf numFmtId="0" fontId="7" fillId="4" borderId="0" xfId="0" applyFont="1" applyFill="1" applyAlignment="1">
      <alignment horizontal="left" vertical="center" wrapText="1"/>
    </xf>
    <xf numFmtId="4" fontId="7" fillId="4" borderId="0" xfId="0" applyNumberFormat="1" applyFont="1" applyFill="1"/>
    <xf numFmtId="0" fontId="7" fillId="4" borderId="9" xfId="0" applyFont="1" applyFill="1" applyBorder="1" applyAlignment="1">
      <alignment horizontal="left" vertical="center" wrapText="1"/>
    </xf>
    <xf numFmtId="164" fontId="7" fillId="4" borderId="9" xfId="1" applyNumberFormat="1" applyFont="1" applyFill="1" applyBorder="1"/>
    <xf numFmtId="0" fontId="7" fillId="0" borderId="7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1" fillId="4" borderId="10" xfId="0" applyFont="1" applyFill="1" applyBorder="1" applyAlignment="1">
      <alignment horizontal="center" vertical="center" textRotation="90"/>
    </xf>
    <xf numFmtId="0" fontId="7" fillId="0" borderId="9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center"/>
    </xf>
    <xf numFmtId="0" fontId="0" fillId="0" borderId="11" xfId="0" applyBorder="1"/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3" fontId="7" fillId="4" borderId="7" xfId="0" applyNumberFormat="1" applyFont="1" applyFill="1" applyBorder="1" applyAlignment="1">
      <alignment horizontal="right"/>
    </xf>
    <xf numFmtId="3" fontId="7" fillId="4" borderId="0" xfId="0" applyNumberFormat="1" applyFont="1" applyFill="1" applyAlignment="1">
      <alignment horizontal="right"/>
    </xf>
    <xf numFmtId="3" fontId="7" fillId="0" borderId="7" xfId="0" applyNumberFormat="1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2" fontId="7" fillId="0" borderId="7" xfId="0" applyNumberFormat="1" applyFont="1" applyBorder="1" applyAlignment="1">
      <alignment horizontal="right"/>
    </xf>
    <xf numFmtId="2" fontId="7" fillId="0" borderId="0" xfId="0" applyNumberFormat="1" applyFont="1" applyAlignment="1">
      <alignment horizontal="right"/>
    </xf>
    <xf numFmtId="164" fontId="7" fillId="0" borderId="9" xfId="1" applyNumberFormat="1" applyFont="1" applyFill="1" applyBorder="1"/>
    <xf numFmtId="0" fontId="2" fillId="0" borderId="0" xfId="0" applyFont="1"/>
    <xf numFmtId="164" fontId="13" fillId="4" borderId="7" xfId="1" applyNumberFormat="1" applyFont="1" applyFill="1" applyBorder="1" applyAlignment="1">
      <alignment horizontal="right"/>
    </xf>
    <xf numFmtId="164" fontId="13" fillId="4" borderId="0" xfId="1" applyNumberFormat="1" applyFont="1" applyFill="1" applyAlignment="1">
      <alignment horizontal="right"/>
    </xf>
    <xf numFmtId="164" fontId="13" fillId="4" borderId="9" xfId="1" applyNumberFormat="1" applyFont="1" applyFill="1" applyBorder="1" applyAlignment="1">
      <alignment horizontal="right"/>
    </xf>
    <xf numFmtId="0" fontId="7" fillId="4" borderId="0" xfId="0" applyFont="1" applyFill="1" applyAlignment="1">
      <alignment horizontal="left" vertical="center" wrapText="1"/>
    </xf>
    <xf numFmtId="164" fontId="13" fillId="4" borderId="0" xfId="1" applyNumberFormat="1" applyFont="1" applyFill="1" applyBorder="1" applyAlignment="1">
      <alignment horizontal="right"/>
    </xf>
    <xf numFmtId="164" fontId="7" fillId="4" borderId="0" xfId="1" applyNumberFormat="1" applyFont="1" applyFill="1" applyBorder="1" applyAlignment="1">
      <alignment horizontal="right"/>
    </xf>
    <xf numFmtId="164" fontId="7" fillId="4" borderId="0" xfId="1" applyNumberFormat="1" applyFont="1" applyFill="1" applyBorder="1"/>
    <xf numFmtId="0" fontId="14" fillId="0" borderId="0" xfId="0" applyFont="1"/>
    <xf numFmtId="164" fontId="7" fillId="0" borderId="9" xfId="1" applyNumberFormat="1" applyFont="1" applyFill="1" applyBorder="1" applyAlignment="1">
      <alignment horizontal="right"/>
    </xf>
    <xf numFmtId="0" fontId="2" fillId="0" borderId="0" xfId="0" applyFont="1" applyAlignment="1">
      <alignment horizontal="left" wrapText="1"/>
    </xf>
    <xf numFmtId="0" fontId="8" fillId="0" borderId="3" xfId="0" applyFont="1" applyBorder="1" applyAlignment="1">
      <alignment vertical="center" readingOrder="1"/>
    </xf>
    <xf numFmtId="0" fontId="15" fillId="2" borderId="7" xfId="0" applyFont="1" applyFill="1" applyBorder="1"/>
    <xf numFmtId="3" fontId="7" fillId="2" borderId="7" xfId="0" applyNumberFormat="1" applyFont="1" applyFill="1" applyBorder="1"/>
    <xf numFmtId="164" fontId="7" fillId="2" borderId="7" xfId="1" applyNumberFormat="1" applyFont="1" applyFill="1" applyBorder="1"/>
    <xf numFmtId="0" fontId="0" fillId="0" borderId="0" xfId="0" applyAlignment="1">
      <alignment horizontal="left"/>
    </xf>
    <xf numFmtId="3" fontId="7" fillId="4" borderId="9" xfId="0" applyNumberFormat="1" applyFont="1" applyFill="1" applyBorder="1"/>
    <xf numFmtId="164" fontId="7" fillId="0" borderId="0" xfId="1" applyNumberFormat="1" applyFont="1" applyBorder="1" applyAlignment="1">
      <alignment horizontal="right"/>
    </xf>
    <xf numFmtId="3" fontId="7" fillId="0" borderId="9" xfId="0" applyNumberFormat="1" applyFont="1" applyBorder="1"/>
    <xf numFmtId="164" fontId="7" fillId="0" borderId="9" xfId="1" applyNumberFormat="1" applyFont="1" applyBorder="1"/>
    <xf numFmtId="0" fontId="7" fillId="0" borderId="12" xfId="0" applyFont="1" applyBorder="1" applyAlignment="1">
      <alignment horizontal="center" vertical="center"/>
    </xf>
    <xf numFmtId="4" fontId="7" fillId="2" borderId="7" xfId="0" applyNumberFormat="1" applyFont="1" applyFill="1" applyBorder="1"/>
    <xf numFmtId="0" fontId="7" fillId="0" borderId="13" xfId="0" applyFont="1" applyBorder="1" applyAlignment="1">
      <alignment horizontal="center" vertical="center"/>
    </xf>
    <xf numFmtId="164" fontId="7" fillId="0" borderId="0" xfId="1" applyNumberFormat="1" applyFont="1" applyFill="1" applyBorder="1" applyAlignment="1">
      <alignment horizontal="right"/>
    </xf>
    <xf numFmtId="164" fontId="7" fillId="0" borderId="0" xfId="1" applyNumberFormat="1" applyFont="1" applyFill="1" applyBorder="1"/>
    <xf numFmtId="0" fontId="7" fillId="0" borderId="14" xfId="0" applyFont="1" applyBorder="1" applyAlignment="1">
      <alignment horizontal="center" vertical="center"/>
    </xf>
    <xf numFmtId="2" fontId="7" fillId="0" borderId="9" xfId="0" applyNumberFormat="1" applyFont="1" applyBorder="1"/>
    <xf numFmtId="4" fontId="7" fillId="0" borderId="9" xfId="0" applyNumberFormat="1" applyFont="1" applyBorder="1"/>
    <xf numFmtId="4" fontId="7" fillId="4" borderId="9" xfId="0" applyNumberFormat="1" applyFont="1" applyFill="1" applyBorder="1"/>
    <xf numFmtId="164" fontId="0" fillId="0" borderId="0" xfId="1" applyNumberFormat="1" applyFont="1"/>
    <xf numFmtId="164" fontId="7" fillId="0" borderId="7" xfId="1" applyNumberFormat="1" applyFont="1" applyBorder="1"/>
    <xf numFmtId="164" fontId="7" fillId="0" borderId="0" xfId="1" applyNumberFormat="1" applyFont="1" applyBorder="1"/>
    <xf numFmtId="0" fontId="8" fillId="0" borderId="3" xfId="3" applyFont="1" applyBorder="1" applyAlignment="1">
      <alignment vertical="center" readingOrder="1"/>
    </xf>
    <xf numFmtId="0" fontId="8" fillId="0" borderId="0" xfId="0" applyFont="1" applyAlignment="1">
      <alignment horizontal="left" vertical="center" wrapText="1" readingOrder="1"/>
    </xf>
    <xf numFmtId="0" fontId="8" fillId="0" borderId="15" xfId="0" applyFont="1" applyBorder="1" applyAlignment="1">
      <alignment horizontal="left" vertical="center" wrapText="1" readingOrder="1"/>
    </xf>
    <xf numFmtId="0" fontId="16" fillId="3" borderId="0" xfId="0" applyFont="1" applyFill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right" vertical="center"/>
    </xf>
    <xf numFmtId="0" fontId="7" fillId="3" borderId="0" xfId="0" applyFont="1" applyFill="1" applyAlignment="1">
      <alignment horizontal="right" vertical="center" wrapText="1"/>
    </xf>
    <xf numFmtId="17" fontId="7" fillId="3" borderId="0" xfId="0" applyNumberFormat="1" applyFont="1" applyFill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right" vertical="center"/>
    </xf>
    <xf numFmtId="17" fontId="7" fillId="3" borderId="19" xfId="0" applyNumberFormat="1" applyFont="1" applyFill="1" applyBorder="1" applyAlignment="1">
      <alignment horizontal="right" vertical="center" wrapText="1"/>
    </xf>
    <xf numFmtId="0" fontId="17" fillId="2" borderId="20" xfId="0" applyFont="1" applyFill="1" applyBorder="1"/>
    <xf numFmtId="3" fontId="17" fillId="2" borderId="21" xfId="0" applyNumberFormat="1" applyFont="1" applyFill="1" applyBorder="1" applyAlignment="1">
      <alignment horizontal="right"/>
    </xf>
    <xf numFmtId="164" fontId="17" fillId="2" borderId="21" xfId="0" applyNumberFormat="1" applyFont="1" applyFill="1" applyBorder="1" applyAlignment="1">
      <alignment horizontal="right"/>
    </xf>
    <xf numFmtId="0" fontId="18" fillId="0" borderId="20" xfId="0" applyFont="1" applyBorder="1" applyAlignment="1">
      <alignment horizontal="left" indent="1"/>
    </xf>
    <xf numFmtId="3" fontId="18" fillId="0" borderId="20" xfId="0" applyNumberFormat="1" applyFont="1" applyBorder="1" applyAlignment="1">
      <alignment horizontal="right"/>
    </xf>
    <xf numFmtId="164" fontId="18" fillId="0" borderId="20" xfId="0" applyNumberFormat="1" applyFont="1" applyBorder="1" applyAlignment="1">
      <alignment horizontal="right"/>
    </xf>
    <xf numFmtId="0" fontId="7" fillId="0" borderId="0" xfId="0" applyFont="1" applyAlignment="1">
      <alignment horizontal="left" indent="2"/>
    </xf>
    <xf numFmtId="164" fontId="7" fillId="0" borderId="0" xfId="0" applyNumberFormat="1" applyFont="1" applyAlignment="1">
      <alignment horizontal="right"/>
    </xf>
    <xf numFmtId="3" fontId="17" fillId="2" borderId="20" xfId="0" applyNumberFormat="1" applyFont="1" applyFill="1" applyBorder="1" applyAlignment="1">
      <alignment horizontal="right"/>
    </xf>
    <xf numFmtId="164" fontId="17" fillId="2" borderId="20" xfId="0" applyNumberFormat="1" applyFont="1" applyFill="1" applyBorder="1" applyAlignment="1">
      <alignment horizontal="right"/>
    </xf>
    <xf numFmtId="0" fontId="7" fillId="0" borderId="22" xfId="0" applyFont="1" applyBorder="1"/>
    <xf numFmtId="3" fontId="7" fillId="0" borderId="22" xfId="0" applyNumberFormat="1" applyFont="1" applyBorder="1"/>
    <xf numFmtId="3" fontId="7" fillId="0" borderId="23" xfId="0" applyNumberFormat="1" applyFont="1" applyBorder="1"/>
    <xf numFmtId="164" fontId="7" fillId="0" borderId="22" xfId="0" applyNumberFormat="1" applyFont="1" applyBorder="1"/>
    <xf numFmtId="0" fontId="12" fillId="0" borderId="24" xfId="0" applyFont="1" applyBorder="1"/>
    <xf numFmtId="0" fontId="8" fillId="0" borderId="15" xfId="0" applyFont="1" applyBorder="1" applyAlignment="1">
      <alignment vertical="center" readingOrder="1"/>
    </xf>
    <xf numFmtId="3" fontId="8" fillId="0" borderId="15" xfId="0" applyNumberFormat="1" applyFont="1" applyBorder="1" applyAlignment="1">
      <alignment vertical="center" readingOrder="1"/>
    </xf>
    <xf numFmtId="0" fontId="19" fillId="0" borderId="0" xfId="0" applyFont="1" applyAlignment="1">
      <alignment vertical="center" readingOrder="1"/>
    </xf>
    <xf numFmtId="3" fontId="20" fillId="3" borderId="25" xfId="0" applyNumberFormat="1" applyFont="1" applyFill="1" applyBorder="1" applyAlignment="1">
      <alignment horizontal="center" vertical="center" readingOrder="1"/>
    </xf>
    <xf numFmtId="3" fontId="20" fillId="3" borderId="26" xfId="0" applyNumberFormat="1" applyFont="1" applyFill="1" applyBorder="1" applyAlignment="1">
      <alignment horizontal="center" vertical="center" readingOrder="1"/>
    </xf>
    <xf numFmtId="0" fontId="8" fillId="0" borderId="0" xfId="0" applyFont="1" applyAlignment="1">
      <alignment vertical="center" readingOrder="1"/>
    </xf>
    <xf numFmtId="0" fontId="15" fillId="3" borderId="25" xfId="0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3" fontId="15" fillId="3" borderId="29" xfId="0" applyNumberFormat="1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3" fontId="15" fillId="3" borderId="3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3" fontId="7" fillId="0" borderId="32" xfId="0" applyNumberFormat="1" applyFont="1" applyBorder="1" applyAlignment="1">
      <alignment horizontal="right"/>
    </xf>
    <xf numFmtId="164" fontId="7" fillId="0" borderId="33" xfId="0" applyNumberFormat="1" applyFont="1" applyBorder="1" applyAlignment="1">
      <alignment horizontal="right"/>
    </xf>
    <xf numFmtId="0" fontId="22" fillId="0" borderId="34" xfId="4" applyNumberFormat="1" applyFont="1" applyBorder="1" applyAlignment="1" applyProtection="1">
      <alignment horizontal="center" vertical="center" wrapText="1"/>
      <protection hidden="1"/>
    </xf>
    <xf numFmtId="3" fontId="22" fillId="0" borderId="35" xfId="1" applyNumberFormat="1" applyFont="1" applyBorder="1" applyAlignment="1" applyProtection="1">
      <alignment vertical="center"/>
      <protection hidden="1"/>
    </xf>
    <xf numFmtId="164" fontId="22" fillId="0" borderId="36" xfId="4" applyNumberFormat="1" applyFont="1" applyBorder="1" applyAlignment="1" applyProtection="1">
      <alignment horizontal="right" vertical="center" wrapText="1"/>
      <protection hidden="1"/>
    </xf>
    <xf numFmtId="3" fontId="0" fillId="0" borderId="0" xfId="0" applyNumberFormat="1"/>
    <xf numFmtId="3" fontId="19" fillId="0" borderId="0" xfId="0" applyNumberFormat="1" applyFont="1" applyAlignment="1">
      <alignment vertical="center" readingOrder="1"/>
    </xf>
    <xf numFmtId="9" fontId="0" fillId="0" borderId="0" xfId="1" applyFont="1"/>
    <xf numFmtId="4" fontId="7" fillId="0" borderId="32" xfId="0" applyNumberFormat="1" applyFont="1" applyBorder="1" applyAlignment="1">
      <alignment horizontal="right"/>
    </xf>
    <xf numFmtId="164" fontId="12" fillId="0" borderId="24" xfId="1" applyNumberFormat="1" applyFont="1" applyBorder="1"/>
    <xf numFmtId="0" fontId="15" fillId="3" borderId="25" xfId="0" applyFont="1" applyFill="1" applyBorder="1" applyAlignment="1">
      <alignment horizontal="center" vertical="center" wrapText="1"/>
    </xf>
    <xf numFmtId="0" fontId="23" fillId="0" borderId="0" xfId="0" applyFont="1"/>
    <xf numFmtId="0" fontId="7" fillId="3" borderId="37" xfId="0" applyFont="1" applyFill="1" applyBorder="1" applyAlignment="1">
      <alignment horizontal="right" vertical="center" wrapText="1"/>
    </xf>
    <xf numFmtId="0" fontId="7" fillId="3" borderId="38" xfId="0" applyFont="1" applyFill="1" applyBorder="1" applyAlignment="1">
      <alignment horizontal="right" vertical="center"/>
    </xf>
    <xf numFmtId="0" fontId="7" fillId="3" borderId="16" xfId="0" applyFont="1" applyFill="1" applyBorder="1" applyAlignment="1">
      <alignment horizontal="right" vertical="center" wrapText="1"/>
    </xf>
    <xf numFmtId="0" fontId="22" fillId="2" borderId="0" xfId="0" applyFont="1" applyFill="1"/>
    <xf numFmtId="3" fontId="24" fillId="2" borderId="0" xfId="0" applyNumberFormat="1" applyFont="1" applyFill="1" applyAlignment="1">
      <alignment horizontal="right"/>
    </xf>
    <xf numFmtId="164" fontId="24" fillId="2" borderId="0" xfId="0" applyNumberFormat="1" applyFont="1" applyFill="1" applyAlignment="1">
      <alignment horizontal="right"/>
    </xf>
    <xf numFmtId="164" fontId="24" fillId="2" borderId="39" xfId="0" applyNumberFormat="1" applyFont="1" applyFill="1" applyBorder="1" applyAlignment="1">
      <alignment horizontal="right"/>
    </xf>
    <xf numFmtId="0" fontId="24" fillId="0" borderId="40" xfId="0" applyFont="1" applyBorder="1" applyAlignment="1">
      <alignment horizontal="left" indent="1"/>
    </xf>
    <xf numFmtId="3" fontId="24" fillId="0" borderId="40" xfId="0" applyNumberFormat="1" applyFont="1" applyBorder="1" applyAlignment="1">
      <alignment horizontal="right"/>
    </xf>
    <xf numFmtId="164" fontId="24" fillId="0" borderId="40" xfId="0" applyNumberFormat="1" applyFont="1" applyBorder="1" applyAlignment="1">
      <alignment horizontal="right"/>
    </xf>
    <xf numFmtId="0" fontId="24" fillId="0" borderId="0" xfId="0" applyFont="1" applyAlignment="1">
      <alignment horizontal="left" indent="1"/>
    </xf>
    <xf numFmtId="3" fontId="24" fillId="0" borderId="0" xfId="0" applyNumberFormat="1" applyFont="1" applyAlignment="1">
      <alignment horizontal="right"/>
    </xf>
    <xf numFmtId="164" fontId="24" fillId="0" borderId="0" xfId="0" applyNumberFormat="1" applyFont="1" applyAlignment="1">
      <alignment horizontal="right"/>
    </xf>
    <xf numFmtId="164" fontId="3" fillId="0" borderId="0" xfId="1" applyNumberFormat="1" applyFont="1"/>
    <xf numFmtId="0" fontId="8" fillId="0" borderId="3" xfId="0" applyFont="1" applyBorder="1" applyAlignment="1">
      <alignment horizontal="left" vertical="center" readingOrder="1"/>
    </xf>
    <xf numFmtId="0" fontId="8" fillId="0" borderId="3" xfId="0" applyFont="1" applyBorder="1" applyAlignment="1">
      <alignment vertical="center" wrapText="1" readingOrder="1"/>
    </xf>
    <xf numFmtId="0" fontId="0" fillId="3" borderId="6" xfId="0" applyFill="1" applyBorder="1"/>
    <xf numFmtId="0" fontId="9" fillId="3" borderId="41" xfId="0" applyFont="1" applyFill="1" applyBorder="1" applyAlignment="1">
      <alignment horizontal="center"/>
    </xf>
    <xf numFmtId="0" fontId="9" fillId="3" borderId="42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25" fillId="3" borderId="10" xfId="0" applyFont="1" applyFill="1" applyBorder="1" applyAlignment="1">
      <alignment horizontal="center" vertical="center" wrapText="1"/>
    </xf>
    <xf numFmtId="1" fontId="7" fillId="3" borderId="43" xfId="0" applyNumberFormat="1" applyFont="1" applyFill="1" applyBorder="1" applyAlignment="1">
      <alignment horizontal="right" vertical="center" wrapText="1"/>
    </xf>
    <xf numFmtId="1" fontId="7" fillId="3" borderId="44" xfId="0" applyNumberFormat="1" applyFont="1" applyFill="1" applyBorder="1" applyAlignment="1">
      <alignment horizontal="right" vertical="center" wrapText="1"/>
    </xf>
    <xf numFmtId="164" fontId="7" fillId="3" borderId="45" xfId="0" applyNumberFormat="1" applyFont="1" applyFill="1" applyBorder="1" applyAlignment="1">
      <alignment horizontal="right" vertical="center" wrapText="1"/>
    </xf>
    <xf numFmtId="3" fontId="7" fillId="3" borderId="46" xfId="0" applyNumberFormat="1" applyFont="1" applyFill="1" applyBorder="1" applyAlignment="1">
      <alignment horizontal="right" vertical="center" wrapText="1"/>
    </xf>
    <xf numFmtId="0" fontId="17" fillId="2" borderId="6" xfId="0" applyFont="1" applyFill="1" applyBorder="1"/>
    <xf numFmtId="3" fontId="17" fillId="2" borderId="7" xfId="0" applyNumberFormat="1" applyFont="1" applyFill="1" applyBorder="1" applyAlignment="1">
      <alignment horizontal="right"/>
    </xf>
    <xf numFmtId="164" fontId="17" fillId="2" borderId="7" xfId="0" applyNumberFormat="1" applyFont="1" applyFill="1" applyBorder="1" applyAlignment="1">
      <alignment horizontal="right"/>
    </xf>
    <xf numFmtId="0" fontId="17" fillId="2" borderId="8" xfId="0" applyFont="1" applyFill="1" applyBorder="1"/>
    <xf numFmtId="0" fontId="17" fillId="0" borderId="8" xfId="0" applyFont="1" applyBorder="1"/>
    <xf numFmtId="3" fontId="17" fillId="0" borderId="47" xfId="0" applyNumberFormat="1" applyFont="1" applyBorder="1" applyAlignment="1">
      <alignment horizontal="right"/>
    </xf>
    <xf numFmtId="164" fontId="17" fillId="0" borderId="48" xfId="0" applyNumberFormat="1" applyFont="1" applyBorder="1" applyAlignment="1">
      <alignment horizontal="right"/>
    </xf>
    <xf numFmtId="0" fontId="18" fillId="0" borderId="8" xfId="0" applyFont="1" applyBorder="1"/>
    <xf numFmtId="3" fontId="18" fillId="0" borderId="47" xfId="0" applyNumberFormat="1" applyFont="1" applyBorder="1" applyAlignment="1">
      <alignment horizontal="right"/>
    </xf>
    <xf numFmtId="164" fontId="18" fillId="0" borderId="48" xfId="0" applyNumberFormat="1" applyFont="1" applyBorder="1" applyAlignment="1">
      <alignment horizontal="right"/>
    </xf>
    <xf numFmtId="0" fontId="3" fillId="0" borderId="8" xfId="0" applyFont="1" applyBorder="1"/>
    <xf numFmtId="0" fontId="7" fillId="0" borderId="8" xfId="0" applyFont="1" applyBorder="1"/>
    <xf numFmtId="3" fontId="7" fillId="0" borderId="47" xfId="0" applyNumberFormat="1" applyFont="1" applyBorder="1" applyAlignment="1">
      <alignment horizontal="right"/>
    </xf>
    <xf numFmtId="164" fontId="7" fillId="0" borderId="48" xfId="0" applyNumberFormat="1" applyFont="1" applyBorder="1" applyAlignment="1">
      <alignment horizontal="right"/>
    </xf>
    <xf numFmtId="164" fontId="2" fillId="0" borderId="0" xfId="1" applyNumberFormat="1" applyFont="1"/>
    <xf numFmtId="0" fontId="3" fillId="0" borderId="10" xfId="0" applyFont="1" applyBorder="1"/>
    <xf numFmtId="0" fontId="7" fillId="0" borderId="10" xfId="0" applyFont="1" applyBorder="1"/>
    <xf numFmtId="3" fontId="7" fillId="0" borderId="49" xfId="0" applyNumberFormat="1" applyFont="1" applyBorder="1" applyAlignment="1">
      <alignment horizontal="right"/>
    </xf>
    <xf numFmtId="164" fontId="7" fillId="0" borderId="50" xfId="0" applyNumberFormat="1" applyFont="1" applyBorder="1" applyAlignment="1">
      <alignment horizontal="right"/>
    </xf>
    <xf numFmtId="0" fontId="12" fillId="0" borderId="0" xfId="0" applyFont="1"/>
    <xf numFmtId="0" fontId="9" fillId="3" borderId="51" xfId="0" applyFont="1" applyFill="1" applyBorder="1" applyAlignment="1">
      <alignment horizontal="center"/>
    </xf>
    <xf numFmtId="0" fontId="9" fillId="3" borderId="52" xfId="0" applyFont="1" applyFill="1" applyBorder="1" applyAlignment="1">
      <alignment horizontal="center"/>
    </xf>
    <xf numFmtId="3" fontId="7" fillId="3" borderId="53" xfId="0" applyNumberFormat="1" applyFont="1" applyFill="1" applyBorder="1" applyAlignment="1">
      <alignment horizontal="right" vertical="center" wrapText="1"/>
    </xf>
    <xf numFmtId="164" fontId="7" fillId="3" borderId="54" xfId="0" applyNumberFormat="1" applyFont="1" applyFill="1" applyBorder="1" applyAlignment="1">
      <alignment horizontal="right" vertical="center" wrapText="1"/>
    </xf>
    <xf numFmtId="3" fontId="17" fillId="2" borderId="0" xfId="0" applyNumberFormat="1" applyFont="1" applyFill="1" applyAlignment="1">
      <alignment horizontal="right"/>
    </xf>
    <xf numFmtId="164" fontId="17" fillId="2" borderId="0" xfId="0" applyNumberFormat="1" applyFont="1" applyFill="1" applyAlignment="1">
      <alignment horizontal="right"/>
    </xf>
    <xf numFmtId="3" fontId="17" fillId="0" borderId="55" xfId="0" applyNumberFormat="1" applyFont="1" applyBorder="1" applyAlignment="1">
      <alignment horizontal="right"/>
    </xf>
    <xf numFmtId="164" fontId="17" fillId="0" borderId="56" xfId="0" applyNumberFormat="1" applyFont="1" applyBorder="1" applyAlignment="1">
      <alignment horizontal="right"/>
    </xf>
    <xf numFmtId="164" fontId="18" fillId="0" borderId="48" xfId="1" applyNumberFormat="1" applyFont="1" applyBorder="1" applyAlignment="1">
      <alignment horizontal="right"/>
    </xf>
    <xf numFmtId="164" fontId="7" fillId="0" borderId="48" xfId="1" applyNumberFormat="1" applyFont="1" applyBorder="1" applyAlignment="1">
      <alignment horizontal="right"/>
    </xf>
    <xf numFmtId="164" fontId="7" fillId="0" borderId="50" xfId="1" applyNumberFormat="1" applyFont="1" applyBorder="1" applyAlignment="1">
      <alignment horizontal="right"/>
    </xf>
    <xf numFmtId="0" fontId="18" fillId="0" borderId="8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0" fillId="3" borderId="8" xfId="0" applyFill="1" applyBorder="1"/>
    <xf numFmtId="1" fontId="7" fillId="3" borderId="53" xfId="0" applyNumberFormat="1" applyFont="1" applyFill="1" applyBorder="1" applyAlignment="1">
      <alignment horizontal="right" vertical="center" wrapText="1"/>
    </xf>
    <xf numFmtId="0" fontId="25" fillId="3" borderId="8" xfId="0" applyFont="1" applyFill="1" applyBorder="1" applyAlignment="1">
      <alignment horizontal="center" vertical="center" wrapText="1"/>
    </xf>
    <xf numFmtId="2" fontId="7" fillId="0" borderId="32" xfId="0" applyNumberFormat="1" applyFont="1" applyBorder="1" applyAlignment="1">
      <alignment horizontal="right"/>
    </xf>
    <xf numFmtId="2" fontId="7" fillId="0" borderId="33" xfId="0" applyNumberFormat="1" applyFont="1" applyBorder="1" applyAlignment="1">
      <alignment horizontal="right"/>
    </xf>
    <xf numFmtId="2" fontId="22" fillId="0" borderId="35" xfId="1" applyNumberFormat="1" applyFont="1" applyBorder="1" applyAlignment="1" applyProtection="1">
      <alignment vertical="center"/>
      <protection hidden="1"/>
    </xf>
    <xf numFmtId="2" fontId="22" fillId="0" borderId="36" xfId="4" applyNumberFormat="1" applyFont="1" applyBorder="1" applyAlignment="1" applyProtection="1">
      <alignment horizontal="right" vertical="center" wrapText="1"/>
      <protection hidden="1"/>
    </xf>
    <xf numFmtId="2" fontId="8" fillId="0" borderId="15" xfId="0" applyNumberFormat="1" applyFont="1" applyBorder="1" applyAlignment="1">
      <alignment vertical="center" readingOrder="1"/>
    </xf>
    <xf numFmtId="2" fontId="20" fillId="3" borderId="25" xfId="0" applyNumberFormat="1" applyFont="1" applyFill="1" applyBorder="1" applyAlignment="1">
      <alignment horizontal="center" vertical="center" readingOrder="1"/>
    </xf>
    <xf numFmtId="2" fontId="20" fillId="3" borderId="26" xfId="0" applyNumberFormat="1" applyFont="1" applyFill="1" applyBorder="1" applyAlignment="1">
      <alignment horizontal="center" vertical="center" readingOrder="1"/>
    </xf>
    <xf numFmtId="2" fontId="0" fillId="0" borderId="0" xfId="0" applyNumberFormat="1"/>
    <xf numFmtId="2" fontId="12" fillId="0" borderId="24" xfId="0" applyNumberFormat="1" applyFont="1" applyBorder="1"/>
    <xf numFmtId="2" fontId="0" fillId="0" borderId="0" xfId="1" applyNumberFormat="1" applyFont="1"/>
    <xf numFmtId="0" fontId="26" fillId="0" borderId="0" xfId="0" applyFont="1"/>
    <xf numFmtId="164" fontId="7" fillId="0" borderId="32" xfId="1" applyNumberFormat="1" applyFont="1" applyBorder="1" applyAlignment="1">
      <alignment horizontal="right"/>
    </xf>
    <xf numFmtId="10" fontId="0" fillId="0" borderId="0" xfId="1" applyNumberFormat="1" applyFont="1"/>
    <xf numFmtId="164" fontId="22" fillId="0" borderId="35" xfId="1" applyNumberFormat="1" applyFont="1" applyBorder="1" applyAlignment="1" applyProtection="1">
      <alignment vertical="center"/>
      <protection hidden="1"/>
    </xf>
    <xf numFmtId="0" fontId="0" fillId="0" borderId="0" xfId="0" applyAlignment="1">
      <alignment horizontal="center" wrapText="1"/>
    </xf>
    <xf numFmtId="164" fontId="0" fillId="0" borderId="0" xfId="0" applyNumberFormat="1"/>
    <xf numFmtId="0" fontId="15" fillId="3" borderId="27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164" fontId="27" fillId="0" borderId="35" xfId="1" applyNumberFormat="1" applyFont="1" applyBorder="1" applyAlignment="1" applyProtection="1">
      <alignment vertical="center"/>
      <protection hidden="1"/>
    </xf>
    <xf numFmtId="164" fontId="27" fillId="0" borderId="36" xfId="4" applyNumberFormat="1" applyFont="1" applyBorder="1" applyAlignment="1" applyProtection="1">
      <alignment horizontal="right" vertical="center" wrapText="1"/>
      <protection hidden="1"/>
    </xf>
    <xf numFmtId="164" fontId="27" fillId="0" borderId="35" xfId="1" applyNumberFormat="1" applyFont="1" applyBorder="1" applyAlignment="1" applyProtection="1">
      <alignment horizontal="right" vertical="center"/>
      <protection hidden="1"/>
    </xf>
    <xf numFmtId="164" fontId="22" fillId="0" borderId="35" xfId="1" applyNumberFormat="1" applyFont="1" applyBorder="1" applyAlignment="1" applyProtection="1">
      <alignment horizontal="right" vertical="center"/>
      <protection hidden="1"/>
    </xf>
    <xf numFmtId="165" fontId="0" fillId="0" borderId="0" xfId="0" applyNumberFormat="1"/>
    <xf numFmtId="17" fontId="7" fillId="3" borderId="57" xfId="0" applyNumberFormat="1" applyFont="1" applyFill="1" applyBorder="1" applyAlignment="1">
      <alignment horizontal="right" vertical="center" wrapText="1"/>
    </xf>
    <xf numFmtId="17" fontId="7" fillId="3" borderId="58" xfId="0" applyNumberFormat="1" applyFont="1" applyFill="1" applyBorder="1" applyAlignment="1">
      <alignment horizontal="right" vertical="center" wrapText="1"/>
    </xf>
    <xf numFmtId="0" fontId="7" fillId="3" borderId="59" xfId="0" applyFont="1" applyFill="1" applyBorder="1" applyAlignment="1">
      <alignment horizontal="right" vertical="center" wrapText="1"/>
    </xf>
    <xf numFmtId="164" fontId="7" fillId="3" borderId="0" xfId="0" applyNumberFormat="1" applyFont="1" applyFill="1" applyAlignment="1">
      <alignment horizontal="right" vertical="center"/>
    </xf>
    <xf numFmtId="0" fontId="17" fillId="2" borderId="7" xfId="0" applyFont="1" applyFill="1" applyBorder="1"/>
    <xf numFmtId="165" fontId="24" fillId="2" borderId="60" xfId="1" applyNumberFormat="1" applyFont="1" applyFill="1" applyBorder="1" applyAlignment="1">
      <alignment horizontal="right"/>
    </xf>
    <xf numFmtId="165" fontId="24" fillId="2" borderId="0" xfId="0" applyNumberFormat="1" applyFont="1" applyFill="1" applyAlignment="1">
      <alignment horizontal="right"/>
    </xf>
    <xf numFmtId="165" fontId="24" fillId="2" borderId="0" xfId="1" applyNumberFormat="1" applyFont="1" applyFill="1" applyBorder="1" applyAlignment="1">
      <alignment horizontal="right"/>
    </xf>
    <xf numFmtId="165" fontId="24" fillId="2" borderId="39" xfId="1" applyNumberFormat="1" applyFont="1" applyFill="1" applyBorder="1" applyAlignment="1">
      <alignment horizontal="right"/>
    </xf>
    <xf numFmtId="3" fontId="24" fillId="2" borderId="60" xfId="0" applyNumberFormat="1" applyFont="1" applyFill="1" applyBorder="1" applyAlignment="1">
      <alignment horizontal="right"/>
    </xf>
    <xf numFmtId="166" fontId="24" fillId="2" borderId="60" xfId="1" applyNumberFormat="1" applyFont="1" applyFill="1" applyBorder="1" applyAlignment="1">
      <alignment horizontal="right"/>
    </xf>
    <xf numFmtId="166" fontId="24" fillId="2" borderId="39" xfId="1" applyNumberFormat="1" applyFont="1" applyFill="1" applyBorder="1" applyAlignment="1">
      <alignment horizontal="right"/>
    </xf>
    <xf numFmtId="165" fontId="7" fillId="0" borderId="13" xfId="1" applyNumberFormat="1" applyFont="1" applyBorder="1" applyAlignment="1">
      <alignment horizontal="right"/>
    </xf>
    <xf numFmtId="165" fontId="7" fillId="0" borderId="0" xfId="1" applyNumberFormat="1" applyFont="1" applyBorder="1" applyAlignment="1">
      <alignment horizontal="right"/>
    </xf>
    <xf numFmtId="3" fontId="7" fillId="0" borderId="13" xfId="0" applyNumberFormat="1" applyFont="1" applyBorder="1" applyAlignment="1">
      <alignment horizontal="right"/>
    </xf>
    <xf numFmtId="166" fontId="7" fillId="0" borderId="13" xfId="1" applyNumberFormat="1" applyFont="1" applyBorder="1" applyAlignment="1">
      <alignment horizontal="right"/>
    </xf>
    <xf numFmtId="166" fontId="7" fillId="0" borderId="0" xfId="1" applyNumberFormat="1" applyFont="1" applyBorder="1" applyAlignment="1">
      <alignment horizontal="right"/>
    </xf>
    <xf numFmtId="164" fontId="7" fillId="0" borderId="0" xfId="0" applyNumberFormat="1" applyFont="1"/>
    <xf numFmtId="0" fontId="12" fillId="0" borderId="0" xfId="0" applyFont="1" applyAlignment="1">
      <alignment wrapText="1"/>
    </xf>
    <xf numFmtId="0" fontId="12" fillId="0" borderId="0" xfId="0" applyFont="1" applyAlignment="1">
      <alignment horizontal="left" vertical="top" wrapText="1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2" fillId="0" borderId="24" xfId="0" applyFont="1" applyBorder="1" applyAlignment="1">
      <alignment horizontal="left"/>
    </xf>
    <xf numFmtId="167" fontId="17" fillId="2" borderId="21" xfId="0" applyNumberFormat="1" applyFont="1" applyFill="1" applyBorder="1" applyAlignment="1">
      <alignment horizontal="right"/>
    </xf>
    <xf numFmtId="167" fontId="17" fillId="2" borderId="21" xfId="1" applyNumberFormat="1" applyFont="1" applyFill="1" applyBorder="1" applyAlignment="1">
      <alignment horizontal="right"/>
    </xf>
    <xf numFmtId="167" fontId="18" fillId="0" borderId="20" xfId="0" applyNumberFormat="1" applyFont="1" applyBorder="1" applyAlignment="1">
      <alignment horizontal="right"/>
    </xf>
    <xf numFmtId="167" fontId="18" fillId="0" borderId="20" xfId="1" applyNumberFormat="1" applyFont="1" applyBorder="1" applyAlignment="1">
      <alignment horizontal="right"/>
    </xf>
    <xf numFmtId="167" fontId="7" fillId="0" borderId="0" xfId="0" applyNumberFormat="1" applyFont="1" applyAlignment="1">
      <alignment horizontal="right"/>
    </xf>
    <xf numFmtId="167" fontId="7" fillId="0" borderId="0" xfId="1" applyNumberFormat="1" applyFont="1" applyAlignment="1">
      <alignment horizontal="right"/>
    </xf>
    <xf numFmtId="167" fontId="17" fillId="2" borderId="20" xfId="0" applyNumberFormat="1" applyFont="1" applyFill="1" applyBorder="1" applyAlignment="1">
      <alignment horizontal="right"/>
    </xf>
    <xf numFmtId="167" fontId="17" fillId="2" borderId="20" xfId="1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10" fillId="4" borderId="11" xfId="0" applyFont="1" applyFill="1" applyBorder="1"/>
    <xf numFmtId="3" fontId="22" fillId="4" borderId="11" xfId="0" applyNumberFormat="1" applyFont="1" applyFill="1" applyBorder="1" applyAlignment="1">
      <alignment horizontal="right" vertical="center" wrapText="1"/>
    </xf>
    <xf numFmtId="164" fontId="22" fillId="4" borderId="11" xfId="1" applyNumberFormat="1" applyFont="1" applyFill="1" applyBorder="1" applyAlignment="1">
      <alignment horizontal="right" vertical="center" wrapText="1"/>
    </xf>
    <xf numFmtId="0" fontId="24" fillId="0" borderId="11" xfId="0" applyFont="1" applyBorder="1"/>
    <xf numFmtId="3" fontId="18" fillId="0" borderId="11" xfId="0" applyNumberFormat="1" applyFont="1" applyBorder="1" applyAlignment="1">
      <alignment horizontal="right" vertical="center" wrapText="1"/>
    </xf>
    <xf numFmtId="164" fontId="18" fillId="0" borderId="11" xfId="1" applyNumberFormat="1" applyFont="1" applyBorder="1" applyAlignment="1">
      <alignment horizontal="right" vertical="center" wrapText="1"/>
    </xf>
    <xf numFmtId="0" fontId="15" fillId="0" borderId="7" xfId="0" applyFont="1" applyBorder="1"/>
    <xf numFmtId="3" fontId="15" fillId="0" borderId="0" xfId="0" applyNumberFormat="1" applyFont="1"/>
    <xf numFmtId="164" fontId="15" fillId="4" borderId="7" xfId="1" applyNumberFormat="1" applyFont="1" applyFill="1" applyBorder="1"/>
    <xf numFmtId="3" fontId="15" fillId="4" borderId="7" xfId="0" applyNumberFormat="1" applyFont="1" applyFill="1" applyBorder="1"/>
    <xf numFmtId="164" fontId="15" fillId="0" borderId="7" xfId="1" applyNumberFormat="1" applyFont="1" applyBorder="1"/>
    <xf numFmtId="0" fontId="7" fillId="0" borderId="0" xfId="0" applyFont="1" applyAlignment="1">
      <alignment horizontal="left" indent="1"/>
    </xf>
    <xf numFmtId="0" fontId="7" fillId="0" borderId="61" xfId="0" applyFont="1" applyBorder="1"/>
    <xf numFmtId="3" fontId="22" fillId="4" borderId="0" xfId="0" applyNumberFormat="1" applyFont="1" applyFill="1" applyAlignment="1">
      <alignment horizontal="right" vertical="center" wrapText="1"/>
    </xf>
    <xf numFmtId="3" fontId="18" fillId="0" borderId="0" xfId="0" applyNumberFormat="1" applyFont="1" applyAlignment="1">
      <alignment horizontal="right" vertical="center" wrapText="1"/>
    </xf>
    <xf numFmtId="0" fontId="15" fillId="0" borderId="0" xfId="0" applyFont="1"/>
    <xf numFmtId="3" fontId="15" fillId="4" borderId="0" xfId="0" applyNumberFormat="1" applyFont="1" applyFill="1"/>
    <xf numFmtId="0" fontId="12" fillId="0" borderId="0" xfId="0" applyFont="1" applyAlignment="1">
      <alignment horizontal="left"/>
    </xf>
    <xf numFmtId="3" fontId="7" fillId="3" borderId="6" xfId="0" applyNumberFormat="1" applyFont="1" applyFill="1" applyBorder="1" applyAlignment="1">
      <alignment horizontal="right" vertical="center" wrapText="1"/>
    </xf>
    <xf numFmtId="164" fontId="7" fillId="3" borderId="6" xfId="0" applyNumberFormat="1" applyFont="1" applyFill="1" applyBorder="1" applyAlignment="1">
      <alignment horizontal="right" vertical="center" wrapText="1"/>
    </xf>
    <xf numFmtId="3" fontId="22" fillId="4" borderId="62" xfId="0" applyNumberFormat="1" applyFont="1" applyFill="1" applyBorder="1" applyAlignment="1">
      <alignment horizontal="right" vertical="center" wrapText="1"/>
    </xf>
    <xf numFmtId="164" fontId="22" fillId="4" borderId="62" xfId="1" applyNumberFormat="1" applyFont="1" applyFill="1" applyBorder="1" applyAlignment="1">
      <alignment horizontal="right" vertical="center" wrapText="1"/>
    </xf>
    <xf numFmtId="0" fontId="28" fillId="0" borderId="0" xfId="0" applyFont="1" applyAlignment="1">
      <alignment horizontal="left" indent="1"/>
    </xf>
    <xf numFmtId="3" fontId="28" fillId="0" borderId="8" xfId="0" applyNumberFormat="1" applyFont="1" applyBorder="1"/>
    <xf numFmtId="164" fontId="28" fillId="0" borderId="8" xfId="1" applyNumberFormat="1" applyFont="1" applyBorder="1"/>
    <xf numFmtId="164" fontId="28" fillId="4" borderId="8" xfId="1" applyNumberFormat="1" applyFont="1" applyFill="1" applyBorder="1"/>
    <xf numFmtId="3" fontId="28" fillId="4" borderId="8" xfId="0" applyNumberFormat="1" applyFont="1" applyFill="1" applyBorder="1"/>
    <xf numFmtId="164" fontId="28" fillId="4" borderId="8" xfId="1" applyNumberFormat="1" applyFont="1" applyFill="1" applyBorder="1" applyAlignment="1">
      <alignment horizontal="right"/>
    </xf>
    <xf numFmtId="3" fontId="28" fillId="4" borderId="8" xfId="0" applyNumberFormat="1" applyFont="1" applyFill="1" applyBorder="1" applyAlignment="1">
      <alignment horizontal="right"/>
    </xf>
    <xf numFmtId="3" fontId="7" fillId="0" borderId="8" xfId="0" applyNumberFormat="1" applyFont="1" applyBorder="1"/>
    <xf numFmtId="164" fontId="15" fillId="0" borderId="8" xfId="1" applyNumberFormat="1" applyFont="1" applyBorder="1"/>
    <xf numFmtId="164" fontId="15" fillId="4" borderId="8" xfId="1" applyNumberFormat="1" applyFont="1" applyFill="1" applyBorder="1" applyAlignment="1">
      <alignment horizontal="right"/>
    </xf>
    <xf numFmtId="3" fontId="15" fillId="4" borderId="8" xfId="0" applyNumberFormat="1" applyFont="1" applyFill="1" applyBorder="1"/>
    <xf numFmtId="164" fontId="7" fillId="4" borderId="8" xfId="1" applyNumberFormat="1" applyFont="1" applyFill="1" applyBorder="1" applyAlignment="1">
      <alignment horizontal="right"/>
    </xf>
    <xf numFmtId="3" fontId="7" fillId="4" borderId="8" xfId="0" applyNumberFormat="1" applyFont="1" applyFill="1" applyBorder="1" applyAlignment="1">
      <alignment horizontal="right"/>
    </xf>
    <xf numFmtId="164" fontId="7" fillId="0" borderId="8" xfId="1" applyNumberFormat="1" applyFont="1" applyBorder="1"/>
    <xf numFmtId="3" fontId="7" fillId="4" borderId="8" xfId="0" applyNumberFormat="1" applyFont="1" applyFill="1" applyBorder="1"/>
    <xf numFmtId="164" fontId="7" fillId="4" borderId="8" xfId="1" applyNumberFormat="1" applyFont="1" applyFill="1" applyBorder="1"/>
    <xf numFmtId="3" fontId="28" fillId="0" borderId="8" xfId="0" applyNumberFormat="1" applyFont="1" applyBorder="1" applyAlignment="1">
      <alignment horizontal="right"/>
    </xf>
    <xf numFmtId="164" fontId="28" fillId="0" borderId="8" xfId="1" applyNumberFormat="1" applyFont="1" applyBorder="1" applyAlignment="1">
      <alignment horizontal="right"/>
    </xf>
    <xf numFmtId="0" fontId="7" fillId="0" borderId="61" xfId="0" applyFont="1" applyBorder="1" applyAlignment="1">
      <alignment horizontal="right"/>
    </xf>
    <xf numFmtId="164" fontId="15" fillId="4" borderId="8" xfId="1" applyNumberFormat="1" applyFont="1" applyFill="1" applyBorder="1"/>
    <xf numFmtId="0" fontId="12" fillId="0" borderId="63" xfId="0" applyFont="1" applyBorder="1" applyAlignment="1">
      <alignment horizontal="left" wrapText="1"/>
    </xf>
    <xf numFmtId="3" fontId="7" fillId="4" borderId="8" xfId="1" applyNumberFormat="1" applyFont="1" applyFill="1" applyBorder="1"/>
    <xf numFmtId="3" fontId="15" fillId="4" borderId="8" xfId="1" applyNumberFormat="1" applyFont="1" applyFill="1" applyBorder="1"/>
  </cellXfs>
  <cellStyles count="5">
    <cellStyle name="Hipervínculo" xfId="2" builtinId="8"/>
    <cellStyle name="Normal" xfId="0" builtinId="0"/>
    <cellStyle name="Normal 2 2" xfId="4" xr:uid="{4CC7830F-5A16-4A2F-BC1A-DB29C2E49076}"/>
    <cellStyle name="Normal 2 6" xfId="3" xr:uid="{CD4A4F68-0FD7-4386-B3DF-74859C96C713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55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9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0.xml"/><Relationship Id="rId1" Type="http://schemas.microsoft.com/office/2011/relationships/chartStyle" Target="style10.xml"/><Relationship Id="rId4" Type="http://schemas.openxmlformats.org/officeDocument/2006/relationships/chartUserShapes" Target="../drawings/drawing18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1.xml"/><Relationship Id="rId1" Type="http://schemas.microsoft.com/office/2011/relationships/chartStyle" Target="style11.xml"/><Relationship Id="rId4" Type="http://schemas.openxmlformats.org/officeDocument/2006/relationships/chartUserShapes" Target="../drawings/drawing19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2.xml"/><Relationship Id="rId1" Type="http://schemas.microsoft.com/office/2011/relationships/chartStyle" Target="style12.xml"/><Relationship Id="rId4" Type="http://schemas.openxmlformats.org/officeDocument/2006/relationships/chartUserShapes" Target="../drawings/drawing20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3.xml"/><Relationship Id="rId1" Type="http://schemas.microsoft.com/office/2011/relationships/chartStyle" Target="style13.xml"/><Relationship Id="rId4" Type="http://schemas.openxmlformats.org/officeDocument/2006/relationships/chartUserShapes" Target="../drawings/drawing21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4.xml"/><Relationship Id="rId1" Type="http://schemas.microsoft.com/office/2011/relationships/chartStyle" Target="style14.xml"/><Relationship Id="rId4" Type="http://schemas.openxmlformats.org/officeDocument/2006/relationships/chartUserShapes" Target="../drawings/drawing2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5.xml"/><Relationship Id="rId1" Type="http://schemas.microsoft.com/office/2011/relationships/chartStyle" Target="style15.xml"/><Relationship Id="rId4" Type="http://schemas.openxmlformats.org/officeDocument/2006/relationships/chartUserShapes" Target="../drawings/drawing2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6.xml"/><Relationship Id="rId1" Type="http://schemas.microsoft.com/office/2011/relationships/chartStyle" Target="style16.xml"/><Relationship Id="rId4" Type="http://schemas.openxmlformats.org/officeDocument/2006/relationships/chartUserShapes" Target="../drawings/drawing2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7.xml"/><Relationship Id="rId1" Type="http://schemas.microsoft.com/office/2011/relationships/chartStyle" Target="style17.xml"/><Relationship Id="rId4" Type="http://schemas.openxmlformats.org/officeDocument/2006/relationships/chartUserShapes" Target="../drawings/drawing2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18.xml"/><Relationship Id="rId1" Type="http://schemas.microsoft.com/office/2011/relationships/chartStyle" Target="style18.xml"/><Relationship Id="rId4" Type="http://schemas.openxmlformats.org/officeDocument/2006/relationships/chartUserShapes" Target="../drawings/drawing2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19.xml"/><Relationship Id="rId1" Type="http://schemas.microsoft.com/office/2011/relationships/chartStyle" Target="style19.xml"/><Relationship Id="rId4" Type="http://schemas.openxmlformats.org/officeDocument/2006/relationships/chartUserShapes" Target="../drawings/drawing30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10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0.xml"/><Relationship Id="rId1" Type="http://schemas.microsoft.com/office/2011/relationships/chartStyle" Target="style20.xml"/><Relationship Id="rId4" Type="http://schemas.openxmlformats.org/officeDocument/2006/relationships/chartUserShapes" Target="../drawings/drawing31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1.xml"/><Relationship Id="rId1" Type="http://schemas.microsoft.com/office/2011/relationships/chartStyle" Target="style21.xml"/><Relationship Id="rId4" Type="http://schemas.openxmlformats.org/officeDocument/2006/relationships/chartUserShapes" Target="../drawings/drawing32.xml"/></Relationships>
</file>

<file path=xl/charts/_rels/chart2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5.xml"/><Relationship Id="rId1" Type="http://schemas.openxmlformats.org/officeDocument/2006/relationships/themeOverride" Target="../theme/themeOverride22.xml"/></Relationships>
</file>

<file path=xl/charts/_rels/chart2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7.xml"/><Relationship Id="rId1" Type="http://schemas.openxmlformats.org/officeDocument/2006/relationships/themeOverride" Target="../theme/themeOverride23.xml"/></Relationships>
</file>

<file path=xl/charts/_rels/chart2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9.xml"/><Relationship Id="rId1" Type="http://schemas.openxmlformats.org/officeDocument/2006/relationships/themeOverride" Target="../theme/themeOverride24.xml"/></Relationships>
</file>

<file path=xl/charts/_rels/chart2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1.xml"/><Relationship Id="rId1" Type="http://schemas.openxmlformats.org/officeDocument/2006/relationships/themeOverride" Target="../theme/themeOverride25.xml"/></Relationships>
</file>

<file path=xl/charts/_rels/chart2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3.xml"/><Relationship Id="rId1" Type="http://schemas.openxmlformats.org/officeDocument/2006/relationships/themeOverride" Target="../theme/themeOverride26.xml"/></Relationships>
</file>

<file path=xl/charts/_rels/chart2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8.xml"/><Relationship Id="rId1" Type="http://schemas.openxmlformats.org/officeDocument/2006/relationships/themeOverride" Target="../theme/themeOverride27.xml"/></Relationships>
</file>

<file path=xl/charts/_rels/chart2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0.xml"/><Relationship Id="rId1" Type="http://schemas.openxmlformats.org/officeDocument/2006/relationships/themeOverride" Target="../theme/themeOverrid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9.xml"/><Relationship Id="rId2" Type="http://schemas.microsoft.com/office/2011/relationships/chartColorStyle" Target="colors22.xml"/><Relationship Id="rId1" Type="http://schemas.microsoft.com/office/2011/relationships/chartStyle" Target="style22.xml"/><Relationship Id="rId4" Type="http://schemas.openxmlformats.org/officeDocument/2006/relationships/chartUserShapes" Target="../drawings/drawing53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chartUserShapes" Target="../drawings/drawing11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0.xml"/><Relationship Id="rId2" Type="http://schemas.microsoft.com/office/2011/relationships/chartColorStyle" Target="colors23.xml"/><Relationship Id="rId1" Type="http://schemas.microsoft.com/office/2011/relationships/chartStyle" Target="style23.xml"/><Relationship Id="rId4" Type="http://schemas.openxmlformats.org/officeDocument/2006/relationships/chartUserShapes" Target="../drawings/drawing54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1.xml"/><Relationship Id="rId2" Type="http://schemas.microsoft.com/office/2011/relationships/chartColorStyle" Target="colors24.xml"/><Relationship Id="rId1" Type="http://schemas.microsoft.com/office/2011/relationships/chartStyle" Target="style24.xml"/><Relationship Id="rId4" Type="http://schemas.openxmlformats.org/officeDocument/2006/relationships/chartUserShapes" Target="../drawings/drawing55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2.xml"/><Relationship Id="rId2" Type="http://schemas.microsoft.com/office/2011/relationships/chartColorStyle" Target="colors25.xml"/><Relationship Id="rId1" Type="http://schemas.microsoft.com/office/2011/relationships/chartStyle" Target="style25.xml"/><Relationship Id="rId4" Type="http://schemas.openxmlformats.org/officeDocument/2006/relationships/chartUserShapes" Target="../drawings/drawing56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3.xml"/><Relationship Id="rId2" Type="http://schemas.microsoft.com/office/2011/relationships/chartColorStyle" Target="colors26.xml"/><Relationship Id="rId1" Type="http://schemas.microsoft.com/office/2011/relationships/chartStyle" Target="style26.xml"/><Relationship Id="rId4" Type="http://schemas.openxmlformats.org/officeDocument/2006/relationships/chartUserShapes" Target="../drawings/drawing57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4.xml"/><Relationship Id="rId2" Type="http://schemas.microsoft.com/office/2011/relationships/chartColorStyle" Target="colors27.xml"/><Relationship Id="rId1" Type="http://schemas.microsoft.com/office/2011/relationships/chartStyle" Target="style27.xml"/><Relationship Id="rId4" Type="http://schemas.openxmlformats.org/officeDocument/2006/relationships/chartUserShapes" Target="../drawings/drawing58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5.xml"/><Relationship Id="rId2" Type="http://schemas.microsoft.com/office/2011/relationships/chartColorStyle" Target="colors28.xml"/><Relationship Id="rId1" Type="http://schemas.microsoft.com/office/2011/relationships/chartStyle" Target="style28.xml"/><Relationship Id="rId4" Type="http://schemas.openxmlformats.org/officeDocument/2006/relationships/chartUserShapes" Target="../drawings/drawing59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6.xml"/><Relationship Id="rId2" Type="http://schemas.microsoft.com/office/2011/relationships/chartColorStyle" Target="colors29.xml"/><Relationship Id="rId1" Type="http://schemas.microsoft.com/office/2011/relationships/chartStyle" Target="style29.xml"/><Relationship Id="rId4" Type="http://schemas.openxmlformats.org/officeDocument/2006/relationships/chartUserShapes" Target="../drawings/drawing60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7.xml"/><Relationship Id="rId2" Type="http://schemas.microsoft.com/office/2011/relationships/chartColorStyle" Target="colors30.xml"/><Relationship Id="rId1" Type="http://schemas.microsoft.com/office/2011/relationships/chartStyle" Target="style30.xml"/><Relationship Id="rId4" Type="http://schemas.openxmlformats.org/officeDocument/2006/relationships/chartUserShapes" Target="../drawings/drawing61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8.xml"/><Relationship Id="rId2" Type="http://schemas.microsoft.com/office/2011/relationships/chartColorStyle" Target="colors31.xml"/><Relationship Id="rId1" Type="http://schemas.microsoft.com/office/2011/relationships/chartStyle" Target="style31.xml"/><Relationship Id="rId4" Type="http://schemas.openxmlformats.org/officeDocument/2006/relationships/chartUserShapes" Target="../drawings/drawing62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9.xml"/><Relationship Id="rId2" Type="http://schemas.microsoft.com/office/2011/relationships/chartColorStyle" Target="colors32.xml"/><Relationship Id="rId1" Type="http://schemas.microsoft.com/office/2011/relationships/chartStyle" Target="style32.xml"/><Relationship Id="rId4" Type="http://schemas.openxmlformats.org/officeDocument/2006/relationships/chartUserShapes" Target="../drawings/drawing6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Relationship Id="rId4" Type="http://schemas.openxmlformats.org/officeDocument/2006/relationships/chartUserShapes" Target="../drawings/drawing12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0.xml"/><Relationship Id="rId2" Type="http://schemas.microsoft.com/office/2011/relationships/chartColorStyle" Target="colors33.xml"/><Relationship Id="rId1" Type="http://schemas.microsoft.com/office/2011/relationships/chartStyle" Target="style33.xml"/><Relationship Id="rId4" Type="http://schemas.openxmlformats.org/officeDocument/2006/relationships/chartUserShapes" Target="../drawings/drawing64.xml"/></Relationships>
</file>

<file path=xl/charts/_rels/chart4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1.xml"/><Relationship Id="rId2" Type="http://schemas.microsoft.com/office/2011/relationships/chartColorStyle" Target="colors34.xml"/><Relationship Id="rId1" Type="http://schemas.microsoft.com/office/2011/relationships/chartStyle" Target="style34.xml"/><Relationship Id="rId4" Type="http://schemas.openxmlformats.org/officeDocument/2006/relationships/chartUserShapes" Target="../drawings/drawing66.xml"/></Relationships>
</file>

<file path=xl/charts/_rels/chart4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2.xml"/><Relationship Id="rId2" Type="http://schemas.microsoft.com/office/2011/relationships/chartColorStyle" Target="colors35.xml"/><Relationship Id="rId1" Type="http://schemas.microsoft.com/office/2011/relationships/chartStyle" Target="style35.xml"/><Relationship Id="rId4" Type="http://schemas.openxmlformats.org/officeDocument/2006/relationships/chartUserShapes" Target="../drawings/drawing67.xml"/></Relationships>
</file>

<file path=xl/charts/_rels/chart4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3.xml"/><Relationship Id="rId2" Type="http://schemas.microsoft.com/office/2011/relationships/chartColorStyle" Target="colors36.xml"/><Relationship Id="rId1" Type="http://schemas.microsoft.com/office/2011/relationships/chartStyle" Target="style36.xml"/><Relationship Id="rId4" Type="http://schemas.openxmlformats.org/officeDocument/2006/relationships/chartUserShapes" Target="../drawings/drawing68.xml"/></Relationships>
</file>

<file path=xl/charts/_rels/chart4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4.xml"/><Relationship Id="rId2" Type="http://schemas.microsoft.com/office/2011/relationships/chartColorStyle" Target="colors37.xml"/><Relationship Id="rId1" Type="http://schemas.microsoft.com/office/2011/relationships/chartStyle" Target="style37.xml"/><Relationship Id="rId4" Type="http://schemas.openxmlformats.org/officeDocument/2006/relationships/chartUserShapes" Target="../drawings/drawing69.xml"/></Relationships>
</file>

<file path=xl/charts/_rels/chart4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5.xml"/><Relationship Id="rId2" Type="http://schemas.microsoft.com/office/2011/relationships/chartColorStyle" Target="colors38.xml"/><Relationship Id="rId1" Type="http://schemas.microsoft.com/office/2011/relationships/chartStyle" Target="style38.xml"/><Relationship Id="rId4" Type="http://schemas.openxmlformats.org/officeDocument/2006/relationships/chartUserShapes" Target="../drawings/drawing70.xml"/></Relationships>
</file>

<file path=xl/charts/_rels/chart4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6.xml"/><Relationship Id="rId2" Type="http://schemas.microsoft.com/office/2011/relationships/chartColorStyle" Target="colors39.xml"/><Relationship Id="rId1" Type="http://schemas.microsoft.com/office/2011/relationships/chartStyle" Target="style39.xml"/><Relationship Id="rId4" Type="http://schemas.openxmlformats.org/officeDocument/2006/relationships/chartUserShapes" Target="../drawings/drawing76.xml"/></Relationships>
</file>

<file path=xl/charts/_rels/chart4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7.xml"/><Relationship Id="rId2" Type="http://schemas.microsoft.com/office/2011/relationships/chartColorStyle" Target="colors40.xml"/><Relationship Id="rId1" Type="http://schemas.microsoft.com/office/2011/relationships/chartStyle" Target="style40.xml"/><Relationship Id="rId4" Type="http://schemas.openxmlformats.org/officeDocument/2006/relationships/chartUserShapes" Target="../drawings/drawing77.xml"/></Relationships>
</file>

<file path=xl/charts/_rels/chart4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8.xml"/><Relationship Id="rId2" Type="http://schemas.microsoft.com/office/2011/relationships/chartColorStyle" Target="colors41.xml"/><Relationship Id="rId1" Type="http://schemas.microsoft.com/office/2011/relationships/chartStyle" Target="style41.xml"/><Relationship Id="rId4" Type="http://schemas.openxmlformats.org/officeDocument/2006/relationships/chartUserShapes" Target="../drawings/drawing78.xml"/></Relationships>
</file>

<file path=xl/charts/_rels/chart4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9.xml"/><Relationship Id="rId2" Type="http://schemas.microsoft.com/office/2011/relationships/chartColorStyle" Target="colors42.xml"/><Relationship Id="rId1" Type="http://schemas.microsoft.com/office/2011/relationships/chartStyle" Target="style42.xml"/><Relationship Id="rId4" Type="http://schemas.openxmlformats.org/officeDocument/2006/relationships/chartUserShapes" Target="../drawings/drawing79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chartUserShapes" Target="../drawings/drawing13.xml"/></Relationships>
</file>

<file path=xl/charts/_rels/chart5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0.xml"/><Relationship Id="rId2" Type="http://schemas.microsoft.com/office/2011/relationships/chartColorStyle" Target="colors43.xml"/><Relationship Id="rId1" Type="http://schemas.microsoft.com/office/2011/relationships/chartStyle" Target="style43.xml"/><Relationship Id="rId4" Type="http://schemas.openxmlformats.org/officeDocument/2006/relationships/chartUserShapes" Target="../drawings/drawing80.xml"/></Relationships>
</file>

<file path=xl/charts/_rels/chart5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1.xml"/><Relationship Id="rId2" Type="http://schemas.microsoft.com/office/2011/relationships/chartColorStyle" Target="colors44.xml"/><Relationship Id="rId1" Type="http://schemas.microsoft.com/office/2011/relationships/chartStyle" Target="style44.xml"/><Relationship Id="rId4" Type="http://schemas.openxmlformats.org/officeDocument/2006/relationships/chartUserShapes" Target="../drawings/drawing81.xml"/></Relationships>
</file>

<file path=xl/charts/_rels/chart5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2.xml"/><Relationship Id="rId2" Type="http://schemas.microsoft.com/office/2011/relationships/chartColorStyle" Target="colors45.xml"/><Relationship Id="rId1" Type="http://schemas.microsoft.com/office/2011/relationships/chartStyle" Target="style45.xml"/><Relationship Id="rId4" Type="http://schemas.openxmlformats.org/officeDocument/2006/relationships/chartUserShapes" Target="../drawings/drawing82.xml"/></Relationships>
</file>

<file path=xl/charts/_rels/chart5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3.xml"/><Relationship Id="rId2" Type="http://schemas.microsoft.com/office/2011/relationships/chartColorStyle" Target="colors46.xml"/><Relationship Id="rId1" Type="http://schemas.microsoft.com/office/2011/relationships/chartStyle" Target="style46.xml"/><Relationship Id="rId4" Type="http://schemas.openxmlformats.org/officeDocument/2006/relationships/chartUserShapes" Target="../drawings/drawing83.xml"/></Relationships>
</file>

<file path=xl/charts/_rels/chart5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4.xml"/><Relationship Id="rId2" Type="http://schemas.microsoft.com/office/2011/relationships/chartColorStyle" Target="colors47.xml"/><Relationship Id="rId1" Type="http://schemas.microsoft.com/office/2011/relationships/chartStyle" Target="style47.xml"/><Relationship Id="rId4" Type="http://schemas.openxmlformats.org/officeDocument/2006/relationships/chartUserShapes" Target="../drawings/drawing84.xml"/></Relationships>
</file>

<file path=xl/charts/_rels/chart5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5.xml"/><Relationship Id="rId2" Type="http://schemas.microsoft.com/office/2011/relationships/chartColorStyle" Target="colors48.xml"/><Relationship Id="rId1" Type="http://schemas.microsoft.com/office/2011/relationships/chartStyle" Target="style48.xml"/><Relationship Id="rId4" Type="http://schemas.openxmlformats.org/officeDocument/2006/relationships/chartUserShapes" Target="../drawings/drawing85.xml"/></Relationships>
</file>

<file path=xl/charts/_rels/chart5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6.xml"/><Relationship Id="rId2" Type="http://schemas.microsoft.com/office/2011/relationships/chartColorStyle" Target="colors49.xml"/><Relationship Id="rId1" Type="http://schemas.microsoft.com/office/2011/relationships/chartStyle" Target="style49.xml"/><Relationship Id="rId4" Type="http://schemas.openxmlformats.org/officeDocument/2006/relationships/chartUserShapes" Target="../drawings/drawing86.xml"/></Relationships>
</file>

<file path=xl/charts/_rels/chart5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7.xml"/><Relationship Id="rId2" Type="http://schemas.microsoft.com/office/2011/relationships/chartColorStyle" Target="colors50.xml"/><Relationship Id="rId1" Type="http://schemas.microsoft.com/office/2011/relationships/chartStyle" Target="style50.xml"/><Relationship Id="rId4" Type="http://schemas.openxmlformats.org/officeDocument/2006/relationships/chartUserShapes" Target="../drawings/drawing87.xml"/></Relationships>
</file>

<file path=xl/charts/_rels/chart5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8.xml"/><Relationship Id="rId2" Type="http://schemas.microsoft.com/office/2011/relationships/chartColorStyle" Target="colors51.xml"/><Relationship Id="rId1" Type="http://schemas.microsoft.com/office/2011/relationships/chartStyle" Target="style51.xml"/><Relationship Id="rId4" Type="http://schemas.openxmlformats.org/officeDocument/2006/relationships/chartUserShapes" Target="../drawings/drawing88.xml"/></Relationships>
</file>

<file path=xl/charts/_rels/chart5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9.xml"/><Relationship Id="rId2" Type="http://schemas.microsoft.com/office/2011/relationships/chartColorStyle" Target="colors52.xml"/><Relationship Id="rId1" Type="http://schemas.microsoft.com/office/2011/relationships/chartStyle" Target="style52.xml"/><Relationship Id="rId4" Type="http://schemas.openxmlformats.org/officeDocument/2006/relationships/chartUserShapes" Target="../drawings/drawing90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Relationship Id="rId4" Type="http://schemas.openxmlformats.org/officeDocument/2006/relationships/chartUserShapes" Target="../drawings/drawing14.xml"/></Relationships>
</file>

<file path=xl/charts/_rels/chart6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0.xml"/><Relationship Id="rId2" Type="http://schemas.microsoft.com/office/2011/relationships/chartColorStyle" Target="colors53.xml"/><Relationship Id="rId1" Type="http://schemas.microsoft.com/office/2011/relationships/chartStyle" Target="style53.xml"/><Relationship Id="rId4" Type="http://schemas.openxmlformats.org/officeDocument/2006/relationships/chartUserShapes" Target="../drawings/drawing91.xml"/></Relationships>
</file>

<file path=xl/charts/_rels/chart6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1.xml"/><Relationship Id="rId2" Type="http://schemas.microsoft.com/office/2011/relationships/chartColorStyle" Target="colors54.xml"/><Relationship Id="rId1" Type="http://schemas.microsoft.com/office/2011/relationships/chartStyle" Target="style54.xml"/><Relationship Id="rId4" Type="http://schemas.openxmlformats.org/officeDocument/2006/relationships/chartUserShapes" Target="../drawings/drawing92.xml"/></Relationships>
</file>

<file path=xl/charts/_rels/chart6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2.xml"/><Relationship Id="rId2" Type="http://schemas.microsoft.com/office/2011/relationships/chartColorStyle" Target="colors55.xml"/><Relationship Id="rId1" Type="http://schemas.microsoft.com/office/2011/relationships/chartStyle" Target="style55.xml"/><Relationship Id="rId4" Type="http://schemas.openxmlformats.org/officeDocument/2006/relationships/chartUserShapes" Target="../drawings/drawing93.xml"/></Relationships>
</file>

<file path=xl/charts/_rels/chart6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3.xml"/><Relationship Id="rId2" Type="http://schemas.microsoft.com/office/2011/relationships/chartColorStyle" Target="colors56.xml"/><Relationship Id="rId1" Type="http://schemas.microsoft.com/office/2011/relationships/chartStyle" Target="style56.xml"/><Relationship Id="rId4" Type="http://schemas.openxmlformats.org/officeDocument/2006/relationships/chartUserShapes" Target="../drawings/drawing94.xml"/></Relationships>
</file>

<file path=xl/charts/_rels/chart6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4.xml"/><Relationship Id="rId2" Type="http://schemas.microsoft.com/office/2011/relationships/chartColorStyle" Target="colors57.xml"/><Relationship Id="rId1" Type="http://schemas.microsoft.com/office/2011/relationships/chartStyle" Target="style57.xml"/><Relationship Id="rId4" Type="http://schemas.openxmlformats.org/officeDocument/2006/relationships/chartUserShapes" Target="../drawings/drawing97.xml"/></Relationships>
</file>

<file path=xl/charts/_rels/chart6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5.xml"/><Relationship Id="rId2" Type="http://schemas.microsoft.com/office/2011/relationships/chartColorStyle" Target="colors58.xml"/><Relationship Id="rId1" Type="http://schemas.microsoft.com/office/2011/relationships/chartStyle" Target="style58.xml"/><Relationship Id="rId4" Type="http://schemas.openxmlformats.org/officeDocument/2006/relationships/chartUserShapes" Target="../drawings/drawing98.xml"/></Relationships>
</file>

<file path=xl/charts/_rels/chart6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6.xml"/><Relationship Id="rId2" Type="http://schemas.microsoft.com/office/2011/relationships/chartColorStyle" Target="colors59.xml"/><Relationship Id="rId1" Type="http://schemas.microsoft.com/office/2011/relationships/chartStyle" Target="style59.xml"/><Relationship Id="rId4" Type="http://schemas.openxmlformats.org/officeDocument/2006/relationships/chartUserShapes" Target="../drawings/drawing99.xml"/></Relationships>
</file>

<file path=xl/charts/_rels/chart6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7.xml"/><Relationship Id="rId2" Type="http://schemas.microsoft.com/office/2011/relationships/chartColorStyle" Target="colors60.xml"/><Relationship Id="rId1" Type="http://schemas.microsoft.com/office/2011/relationships/chartStyle" Target="style60.xml"/><Relationship Id="rId4" Type="http://schemas.openxmlformats.org/officeDocument/2006/relationships/chartUserShapes" Target="../drawings/drawing100.xml"/></Relationships>
</file>

<file path=xl/charts/_rels/chart6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8.xml"/><Relationship Id="rId2" Type="http://schemas.microsoft.com/office/2011/relationships/chartColorStyle" Target="colors61.xml"/><Relationship Id="rId1" Type="http://schemas.microsoft.com/office/2011/relationships/chartStyle" Target="style61.xml"/><Relationship Id="rId4" Type="http://schemas.openxmlformats.org/officeDocument/2006/relationships/chartUserShapes" Target="../drawings/drawing101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8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Relationship Id="rId4" Type="http://schemas.openxmlformats.org/officeDocument/2006/relationships/chartUserShapes" Target="../drawings/drawing15.xml"/></Relationships>
</file>

<file path=xl/charts/_rels/chart7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9.xml"/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7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10.xml"/><Relationship Id="rId1" Type="http://schemas.openxmlformats.org/officeDocument/2006/relationships/themeOverride" Target="../theme/themeOverride69.xml"/></Relationships>
</file>

<file path=xl/charts/_rels/chart7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2.xml"/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7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3.xml"/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7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5.xml"/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7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6.xml"/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7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8.xml"/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7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9.xml"/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7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1.xml"/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2.xml"/><Relationship Id="rId1" Type="http://schemas.openxmlformats.org/officeDocument/2006/relationships/themeOverride" Target="../theme/themeOverride70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chartUserShapes" Target="../drawings/drawing16.xml"/></Relationships>
</file>

<file path=xl/charts/_rels/chart8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3.xml"/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8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5.xml"/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8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6.xml"/><Relationship Id="rId1" Type="http://schemas.openxmlformats.org/officeDocument/2006/relationships/themeOverride" Target="../theme/themeOverride71.xml"/></Relationships>
</file>

<file path=xl/charts/_rels/chart8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7.xml"/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8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9.xml"/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8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30.xml"/><Relationship Id="rId1" Type="http://schemas.openxmlformats.org/officeDocument/2006/relationships/themeOverride" Target="../theme/themeOverride72.xml"/></Relationships>
</file>

<file path=xl/charts/_rels/chart8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1.xml"/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8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3.xml"/><Relationship Id="rId2" Type="http://schemas.microsoft.com/office/2011/relationships/chartColorStyle" Target="colors75.xml"/><Relationship Id="rId1" Type="http://schemas.microsoft.com/office/2011/relationships/chartStyle" Target="style75.xml"/><Relationship Id="rId4" Type="http://schemas.openxmlformats.org/officeDocument/2006/relationships/chartUserShapes" Target="../drawings/drawing133.xml"/></Relationships>
</file>

<file path=xl/charts/_rels/chart8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4.xml"/><Relationship Id="rId2" Type="http://schemas.microsoft.com/office/2011/relationships/chartColorStyle" Target="colors76.xml"/><Relationship Id="rId1" Type="http://schemas.microsoft.com/office/2011/relationships/chartStyle" Target="style76.xml"/><Relationship Id="rId4" Type="http://schemas.openxmlformats.org/officeDocument/2006/relationships/chartUserShapes" Target="../drawings/drawing135.xml"/></Relationships>
</file>

<file path=xl/charts/_rels/chart8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5.xml"/><Relationship Id="rId2" Type="http://schemas.microsoft.com/office/2011/relationships/chartColorStyle" Target="colors77.xml"/><Relationship Id="rId1" Type="http://schemas.microsoft.com/office/2011/relationships/chartStyle" Target="style77.xml"/><Relationship Id="rId4" Type="http://schemas.openxmlformats.org/officeDocument/2006/relationships/chartUserShapes" Target="../drawings/drawing137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9.xml"/><Relationship Id="rId1" Type="http://schemas.microsoft.com/office/2011/relationships/chartStyle" Target="style9.xml"/><Relationship Id="rId4" Type="http://schemas.openxmlformats.org/officeDocument/2006/relationships/chartUserShapes" Target="../drawings/drawing1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8B1-4958-A32B-1257CCA30BFD}"/>
              </c:ext>
            </c:extLst>
          </c:dPt>
          <c:val>
            <c:numRef>
              <c:f>'Viajeros entr evol mensu TF'!$I$9:$I$21</c:f>
              <c:numCache>
                <c:formatCode>#,##0</c:formatCode>
                <c:ptCount val="13"/>
                <c:pt idx="0">
                  <c:v>22490</c:v>
                </c:pt>
                <c:pt idx="1">
                  <c:v>23086</c:v>
                </c:pt>
                <c:pt idx="2">
                  <c:v>21689</c:v>
                </c:pt>
                <c:pt idx="3">
                  <c:v>23484</c:v>
                </c:pt>
                <c:pt idx="4">
                  <c:v>21547</c:v>
                </c:pt>
                <c:pt idx="5">
                  <c:v>21065</c:v>
                </c:pt>
                <c:pt idx="6">
                  <c:v>24276</c:v>
                </c:pt>
                <c:pt idx="7">
                  <c:v>25495</c:v>
                </c:pt>
                <c:pt idx="8">
                  <c:v>22106</c:v>
                </c:pt>
                <c:pt idx="9">
                  <c:v>25007</c:v>
                </c:pt>
                <c:pt idx="10">
                  <c:v>24207</c:v>
                </c:pt>
                <c:pt idx="11">
                  <c:v>24142</c:v>
                </c:pt>
                <c:pt idx="12">
                  <c:v>278594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B1-4958-A32B-1257CCA30BFD}"/>
            </c:ext>
          </c:extLst>
        </c:ser>
        <c:ser>
          <c:idx val="0"/>
          <c:order val="2"/>
          <c:tx>
            <c:strRef>
              <c:f>'Viajeros entr evol mensu TF'!$K$7:$L$7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8B1-4958-A32B-1257CCA30BFD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TF'!$K$9:$K$21</c:f>
              <c:numCache>
                <c:formatCode>#,##0</c:formatCode>
                <c:ptCount val="13"/>
                <c:pt idx="0">
                  <c:v>22650</c:v>
                </c:pt>
                <c:pt idx="1">
                  <c:v>23921</c:v>
                </c:pt>
                <c:pt idx="2">
                  <c:v>27356</c:v>
                </c:pt>
                <c:pt idx="3">
                  <c:v>22205</c:v>
                </c:pt>
                <c:pt idx="4">
                  <c:v>23449</c:v>
                </c:pt>
                <c:pt idx="5">
                  <c:v>22841</c:v>
                </c:pt>
                <c:pt idx="6">
                  <c:v>24893</c:v>
                </c:pt>
                <c:pt idx="7">
                  <c:v>25319</c:v>
                </c:pt>
                <c:pt idx="8">
                  <c:v>21182</c:v>
                </c:pt>
                <c:pt idx="9">
                  <c:v>27341</c:v>
                </c:pt>
                <c:pt idx="10">
                  <c:v>23363</c:v>
                </c:pt>
                <c:pt idx="11">
                  <c:v>23290</c:v>
                </c:pt>
                <c:pt idx="12">
                  <c:v>287810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8B1-4958-A32B-1257CCA30BFD}"/>
            </c:ext>
          </c:extLst>
        </c:ser>
        <c:ser>
          <c:idx val="1"/>
          <c:order val="3"/>
          <c:tx>
            <c:strRef>
              <c:f>'Viajeros entr evol mensu TF'!$M$7:$N$7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8B1-4958-A32B-1257CCA30BF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8B1-4958-A32B-1257CCA30BFD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TF'!$M$9:$M$21</c:f>
              <c:numCache>
                <c:formatCode>#,##0</c:formatCode>
                <c:ptCount val="13"/>
                <c:pt idx="0">
                  <c:v>22528</c:v>
                </c:pt>
                <c:pt idx="1">
                  <c:v>23285</c:v>
                </c:pt>
                <c:pt idx="2">
                  <c:v>24054</c:v>
                </c:pt>
                <c:pt idx="3">
                  <c:v>23503</c:v>
                </c:pt>
                <c:pt idx="4">
                  <c:v>19536</c:v>
                </c:pt>
                <c:pt idx="5">
                  <c:v>23159</c:v>
                </c:pt>
                <c:pt idx="6">
                  <c:v>27952</c:v>
                </c:pt>
                <c:pt idx="7">
                  <c:v>25459</c:v>
                </c:pt>
                <c:pt idx="8">
                  <c:v>24257</c:v>
                </c:pt>
                <c:pt idx="12">
                  <c:v>213733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8B1-4958-A32B-1257CCA30B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8B1-4958-A32B-1257CCA30BF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21031</c:v>
                      </c:pt>
                      <c:pt idx="1">
                        <c:v>22403</c:v>
                      </c:pt>
                      <c:pt idx="2">
                        <c:v>8865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13295</c:v>
                      </c:pt>
                      <c:pt idx="8">
                        <c:v>5725</c:v>
                      </c:pt>
                      <c:pt idx="9">
                        <c:v>6665</c:v>
                      </c:pt>
                      <c:pt idx="10">
                        <c:v>4928</c:v>
                      </c:pt>
                      <c:pt idx="11">
                        <c:v>6261</c:v>
                      </c:pt>
                      <c:pt idx="12">
                        <c:v>96681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8B1-4958-A32B-1257CCA30BF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8B1-4958-A32B-1257CCA30BF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8B1-4958-A32B-1257CCA30BF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8B1-4958-A32B-1257CCA30BF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8B1-4958-A32B-1257CCA30BF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8B1-4958-A32B-1257CCA30BF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8B1-4958-A32B-1257CCA30BF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8B1-4958-A32B-1257CCA30BF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8B1-4958-A32B-1257CCA30BF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8B1-4958-A32B-1257CCA30BF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8B1-4958-A32B-1257CCA30BF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8B1-4958-A32B-1257CCA30BF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8B1-4958-A32B-1257CCA30BF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8B1-4958-A32B-1257CCA30BFD}"/>
              </c:ext>
            </c:extLst>
          </c:dPt>
          <c:cat>
            <c:strRef>
              <c:f>'Viajeros entr evol mensu TF'!$B$9:$B$20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TF'!$N$9:$N$21</c:f>
              <c:numCache>
                <c:formatCode>0.0%</c:formatCode>
                <c:ptCount val="13"/>
                <c:pt idx="0">
                  <c:v>-5.3863134657836653E-3</c:v>
                </c:pt>
                <c:pt idx="1">
                  <c:v>-2.6587517244262338E-2</c:v>
                </c:pt>
                <c:pt idx="2">
                  <c:v>-0.12070478140078955</c:v>
                </c:pt>
                <c:pt idx="3">
                  <c:v>5.845530285971634E-2</c:v>
                </c:pt>
                <c:pt idx="4">
                  <c:v>-0.16687278775214298</c:v>
                </c:pt>
                <c:pt idx="5">
                  <c:v>1.3922332647432256E-2</c:v>
                </c:pt>
                <c:pt idx="6">
                  <c:v>0.12288595187402085</c:v>
                </c:pt>
                <c:pt idx="7">
                  <c:v>5.5294442908486729E-3</c:v>
                </c:pt>
                <c:pt idx="8">
                  <c:v>0.14517042772165056</c:v>
                </c:pt>
                <c:pt idx="12">
                  <c:v>-3.8818423317243944E-4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8B1-4958-A32B-1257CCA30B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TF'!$I$205:$J$205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F68-479F-BF2B-6F79F6C48CE5}"/>
              </c:ext>
            </c:extLst>
          </c:dPt>
          <c:val>
            <c:numRef>
              <c:f>'Viajeros entr evol mensu TF'!$I$207:$I$219</c:f>
              <c:numCache>
                <c:formatCode>#,##0</c:formatCode>
                <c:ptCount val="13"/>
                <c:pt idx="0">
                  <c:v>676</c:v>
                </c:pt>
                <c:pt idx="1">
                  <c:v>751</c:v>
                </c:pt>
                <c:pt idx="2">
                  <c:v>636</c:v>
                </c:pt>
                <c:pt idx="3">
                  <c:v>1013</c:v>
                </c:pt>
                <c:pt idx="4">
                  <c:v>516</c:v>
                </c:pt>
                <c:pt idx="5">
                  <c:v>493</c:v>
                </c:pt>
                <c:pt idx="6">
                  <c:v>865</c:v>
                </c:pt>
                <c:pt idx="7">
                  <c:v>1041</c:v>
                </c:pt>
                <c:pt idx="8">
                  <c:v>805</c:v>
                </c:pt>
                <c:pt idx="9">
                  <c:v>743</c:v>
                </c:pt>
                <c:pt idx="10">
                  <c:v>719</c:v>
                </c:pt>
                <c:pt idx="11">
                  <c:v>620</c:v>
                </c:pt>
                <c:pt idx="12">
                  <c:v>8878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68-479F-BF2B-6F79F6C48CE5}"/>
            </c:ext>
          </c:extLst>
        </c:ser>
        <c:ser>
          <c:idx val="0"/>
          <c:order val="2"/>
          <c:tx>
            <c:strRef>
              <c:f>'Viajeros entr evol mensu TF'!$K$205:$L$205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F68-479F-BF2B-6F79F6C48CE5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TF'!$K$207:$K$219</c:f>
              <c:numCache>
                <c:formatCode>#,##0</c:formatCode>
                <c:ptCount val="13"/>
                <c:pt idx="0">
                  <c:v>554</c:v>
                </c:pt>
                <c:pt idx="1">
                  <c:v>669</c:v>
                </c:pt>
                <c:pt idx="2">
                  <c:v>493</c:v>
                </c:pt>
                <c:pt idx="3">
                  <c:v>570</c:v>
                </c:pt>
                <c:pt idx="4">
                  <c:v>527</c:v>
                </c:pt>
                <c:pt idx="5">
                  <c:v>432</c:v>
                </c:pt>
                <c:pt idx="6">
                  <c:v>531</c:v>
                </c:pt>
                <c:pt idx="7">
                  <c:v>508</c:v>
                </c:pt>
                <c:pt idx="8">
                  <c:v>446</c:v>
                </c:pt>
                <c:pt idx="9">
                  <c:v>702</c:v>
                </c:pt>
                <c:pt idx="10">
                  <c:v>613</c:v>
                </c:pt>
                <c:pt idx="11">
                  <c:v>489</c:v>
                </c:pt>
                <c:pt idx="12">
                  <c:v>6534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F68-479F-BF2B-6F79F6C48CE5}"/>
            </c:ext>
          </c:extLst>
        </c:ser>
        <c:ser>
          <c:idx val="1"/>
          <c:order val="3"/>
          <c:tx>
            <c:strRef>
              <c:f>'Viajeros entr evol mensu TF'!$M$205:$N$205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F68-479F-BF2B-6F79F6C48CE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F68-479F-BF2B-6F79F6C48CE5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TF'!$M$207:$M$219</c:f>
              <c:numCache>
                <c:formatCode>#,##0</c:formatCode>
                <c:ptCount val="13"/>
                <c:pt idx="0">
                  <c:v>512</c:v>
                </c:pt>
                <c:pt idx="1">
                  <c:v>678</c:v>
                </c:pt>
                <c:pt idx="2">
                  <c:v>547</c:v>
                </c:pt>
                <c:pt idx="3">
                  <c:v>590</c:v>
                </c:pt>
                <c:pt idx="4">
                  <c:v>280</c:v>
                </c:pt>
                <c:pt idx="5">
                  <c:v>397</c:v>
                </c:pt>
                <c:pt idx="6">
                  <c:v>569</c:v>
                </c:pt>
                <c:pt idx="7">
                  <c:v>378</c:v>
                </c:pt>
                <c:pt idx="8">
                  <c:v>459</c:v>
                </c:pt>
                <c:pt idx="12">
                  <c:v>4410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F68-479F-BF2B-6F79F6C48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TF'!$C$205:$D$205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0F68-479F-BF2B-6F79F6C48CE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TF'!$C$207:$C$219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349</c:v>
                      </c:pt>
                      <c:pt idx="1">
                        <c:v>262</c:v>
                      </c:pt>
                      <c:pt idx="2">
                        <c:v>154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169</c:v>
                      </c:pt>
                      <c:pt idx="8">
                        <c:v>2</c:v>
                      </c:pt>
                      <c:pt idx="9">
                        <c:v>19</c:v>
                      </c:pt>
                      <c:pt idx="10">
                        <c:v>114</c:v>
                      </c:pt>
                      <c:pt idx="11">
                        <c:v>81</c:v>
                      </c:pt>
                      <c:pt idx="12">
                        <c:v>1273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0F68-479F-BF2B-6F79F6C48CE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TF'!$N$206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F68-479F-BF2B-6F79F6C48CE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F68-479F-BF2B-6F79F6C48CE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F68-479F-BF2B-6F79F6C48CE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F68-479F-BF2B-6F79F6C48CE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F68-479F-BF2B-6F79F6C48CE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F68-479F-BF2B-6F79F6C48CE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F68-479F-BF2B-6F79F6C48CE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F68-479F-BF2B-6F79F6C48CE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F68-479F-BF2B-6F79F6C48CE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F68-479F-BF2B-6F79F6C48CE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F68-479F-BF2B-6F79F6C48CE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0F68-479F-BF2B-6F79F6C48CE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0F68-479F-BF2B-6F79F6C48CE5}"/>
              </c:ext>
            </c:extLst>
          </c:dPt>
          <c:cat>
            <c:strRef>
              <c:f>'Viajeros entr evol mensu TF'!$B$207:$B$218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TF'!$N$207:$N$219</c:f>
              <c:numCache>
                <c:formatCode>0.0%</c:formatCode>
                <c:ptCount val="13"/>
                <c:pt idx="0">
                  <c:v>-7.5812274368231014E-2</c:v>
                </c:pt>
                <c:pt idx="1">
                  <c:v>1.3452914798206317E-2</c:v>
                </c:pt>
                <c:pt idx="2">
                  <c:v>0.1095334685598377</c:v>
                </c:pt>
                <c:pt idx="3">
                  <c:v>3.5087719298245723E-2</c:v>
                </c:pt>
                <c:pt idx="4">
                  <c:v>-0.46869070208728658</c:v>
                </c:pt>
                <c:pt idx="5">
                  <c:v>-8.101851851851849E-2</c:v>
                </c:pt>
                <c:pt idx="6">
                  <c:v>7.1563088512241135E-2</c:v>
                </c:pt>
                <c:pt idx="7">
                  <c:v>-0.25590551181102361</c:v>
                </c:pt>
                <c:pt idx="8">
                  <c:v>2.9147982062780242E-2</c:v>
                </c:pt>
                <c:pt idx="12">
                  <c:v>-6.7653276955602526E-2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F68-479F-BF2B-6F79F6C48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TF'!$I$227:$J$227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A79-4D2B-8E07-24B2339C58BA}"/>
              </c:ext>
            </c:extLst>
          </c:dPt>
          <c:val>
            <c:numRef>
              <c:f>'Viajeros entr evol mensu TF'!$I$229:$I$241</c:f>
              <c:numCache>
                <c:formatCode>#,##0</c:formatCode>
                <c:ptCount val="13"/>
                <c:pt idx="0">
                  <c:v>363</c:v>
                </c:pt>
                <c:pt idx="1">
                  <c:v>445</c:v>
                </c:pt>
                <c:pt idx="2">
                  <c:v>318</c:v>
                </c:pt>
                <c:pt idx="3">
                  <c:v>355</c:v>
                </c:pt>
                <c:pt idx="4">
                  <c:v>518</c:v>
                </c:pt>
                <c:pt idx="5">
                  <c:v>365</c:v>
                </c:pt>
                <c:pt idx="6">
                  <c:v>693</c:v>
                </c:pt>
                <c:pt idx="7">
                  <c:v>497</c:v>
                </c:pt>
                <c:pt idx="8">
                  <c:v>339</c:v>
                </c:pt>
                <c:pt idx="9">
                  <c:v>638</c:v>
                </c:pt>
                <c:pt idx="10">
                  <c:v>437</c:v>
                </c:pt>
                <c:pt idx="11">
                  <c:v>522</c:v>
                </c:pt>
                <c:pt idx="12">
                  <c:v>5490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79-4D2B-8E07-24B2339C58BA}"/>
            </c:ext>
          </c:extLst>
        </c:ser>
        <c:ser>
          <c:idx val="0"/>
          <c:order val="2"/>
          <c:tx>
            <c:strRef>
              <c:f>'Viajeros entr evol mensu TF'!$K$227:$L$227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A79-4D2B-8E07-24B2339C58BA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TF'!$K$229:$K$241</c:f>
              <c:numCache>
                <c:formatCode>#,##0</c:formatCode>
                <c:ptCount val="13"/>
                <c:pt idx="0">
                  <c:v>373</c:v>
                </c:pt>
                <c:pt idx="1">
                  <c:v>462</c:v>
                </c:pt>
                <c:pt idx="2">
                  <c:v>592</c:v>
                </c:pt>
                <c:pt idx="3">
                  <c:v>404</c:v>
                </c:pt>
                <c:pt idx="4">
                  <c:v>597</c:v>
                </c:pt>
                <c:pt idx="5">
                  <c:v>533</c:v>
                </c:pt>
                <c:pt idx="6">
                  <c:v>628</c:v>
                </c:pt>
                <c:pt idx="7">
                  <c:v>486</c:v>
                </c:pt>
                <c:pt idx="8">
                  <c:v>217</c:v>
                </c:pt>
                <c:pt idx="9">
                  <c:v>350</c:v>
                </c:pt>
                <c:pt idx="10">
                  <c:v>424</c:v>
                </c:pt>
                <c:pt idx="11">
                  <c:v>497</c:v>
                </c:pt>
                <c:pt idx="12">
                  <c:v>5563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A79-4D2B-8E07-24B2339C58BA}"/>
            </c:ext>
          </c:extLst>
        </c:ser>
        <c:ser>
          <c:idx val="1"/>
          <c:order val="3"/>
          <c:tx>
            <c:strRef>
              <c:f>'Viajeros entr evol mensu TF'!$M$227:$N$227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A79-4D2B-8E07-24B2339C58B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A79-4D2B-8E07-24B2339C58BA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TF'!$M$229:$M$241</c:f>
              <c:numCache>
                <c:formatCode>#,##0</c:formatCode>
                <c:ptCount val="13"/>
                <c:pt idx="0">
                  <c:v>326</c:v>
                </c:pt>
                <c:pt idx="1">
                  <c:v>351</c:v>
                </c:pt>
                <c:pt idx="2">
                  <c:v>381</c:v>
                </c:pt>
                <c:pt idx="3">
                  <c:v>569</c:v>
                </c:pt>
                <c:pt idx="4">
                  <c:v>211</c:v>
                </c:pt>
                <c:pt idx="5">
                  <c:v>304</c:v>
                </c:pt>
                <c:pt idx="6">
                  <c:v>554</c:v>
                </c:pt>
                <c:pt idx="7">
                  <c:v>299</c:v>
                </c:pt>
                <c:pt idx="8">
                  <c:v>205</c:v>
                </c:pt>
                <c:pt idx="12">
                  <c:v>3200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A79-4D2B-8E07-24B2339C5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TF'!$C$227:$D$227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A79-4D2B-8E07-24B2339C58B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TF'!$C$229:$C$241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313</c:v>
                      </c:pt>
                      <c:pt idx="1">
                        <c:v>321</c:v>
                      </c:pt>
                      <c:pt idx="2">
                        <c:v>227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538</c:v>
                      </c:pt>
                      <c:pt idx="8">
                        <c:v>168</c:v>
                      </c:pt>
                      <c:pt idx="9">
                        <c:v>84</c:v>
                      </c:pt>
                      <c:pt idx="10">
                        <c:v>72</c:v>
                      </c:pt>
                      <c:pt idx="11">
                        <c:v>126</c:v>
                      </c:pt>
                      <c:pt idx="12">
                        <c:v>1935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A79-4D2B-8E07-24B2339C58B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TF'!$N$228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A79-4D2B-8E07-24B2339C58B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A79-4D2B-8E07-24B2339C58B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A79-4D2B-8E07-24B2339C58B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A79-4D2B-8E07-24B2339C58B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A79-4D2B-8E07-24B2339C58B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A79-4D2B-8E07-24B2339C58B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A79-4D2B-8E07-24B2339C58B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A79-4D2B-8E07-24B2339C58B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A79-4D2B-8E07-24B2339C58B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A79-4D2B-8E07-24B2339C58B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A79-4D2B-8E07-24B2339C58B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A79-4D2B-8E07-24B2339C58B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A79-4D2B-8E07-24B2339C58BA}"/>
              </c:ext>
            </c:extLst>
          </c:dPt>
          <c:cat>
            <c:strRef>
              <c:f>'Viajeros entr evol mensu TF'!$B$229:$B$240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TF'!$N$229:$N$241</c:f>
              <c:numCache>
                <c:formatCode>0.0%</c:formatCode>
                <c:ptCount val="13"/>
                <c:pt idx="0">
                  <c:v>-0.12600536193029488</c:v>
                </c:pt>
                <c:pt idx="1">
                  <c:v>-0.24025974025974028</c:v>
                </c:pt>
                <c:pt idx="2">
                  <c:v>-0.35641891891891897</c:v>
                </c:pt>
                <c:pt idx="3">
                  <c:v>0.40841584158415833</c:v>
                </c:pt>
                <c:pt idx="4">
                  <c:v>-0.64656616415410384</c:v>
                </c:pt>
                <c:pt idx="5">
                  <c:v>-0.42964352720450283</c:v>
                </c:pt>
                <c:pt idx="6">
                  <c:v>-0.11783439490445857</c:v>
                </c:pt>
                <c:pt idx="7">
                  <c:v>-0.3847736625514403</c:v>
                </c:pt>
                <c:pt idx="8">
                  <c:v>-5.5299539170506895E-2</c:v>
                </c:pt>
                <c:pt idx="12">
                  <c:v>-0.25442684063373722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A79-4D2B-8E07-24B2339C5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TF'!$I$249:$J$249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567-4EEB-943A-33FB9C4259F1}"/>
              </c:ext>
            </c:extLst>
          </c:dPt>
          <c:val>
            <c:numRef>
              <c:f>'Viajeros entr evol mensu TF'!$I$251:$I$263</c:f>
              <c:numCache>
                <c:formatCode>#,##0</c:formatCode>
                <c:ptCount val="13"/>
                <c:pt idx="0">
                  <c:v>905</c:v>
                </c:pt>
                <c:pt idx="1">
                  <c:v>665</c:v>
                </c:pt>
                <c:pt idx="2">
                  <c:v>457</c:v>
                </c:pt>
                <c:pt idx="3">
                  <c:v>202</c:v>
                </c:pt>
                <c:pt idx="4">
                  <c:v>9</c:v>
                </c:pt>
                <c:pt idx="5">
                  <c:v>2</c:v>
                </c:pt>
                <c:pt idx="6">
                  <c:v>5</c:v>
                </c:pt>
                <c:pt idx="7">
                  <c:v>15</c:v>
                </c:pt>
                <c:pt idx="8">
                  <c:v>12</c:v>
                </c:pt>
                <c:pt idx="9">
                  <c:v>77</c:v>
                </c:pt>
                <c:pt idx="10">
                  <c:v>782</c:v>
                </c:pt>
                <c:pt idx="11">
                  <c:v>560</c:v>
                </c:pt>
                <c:pt idx="12">
                  <c:v>3691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67-4EEB-943A-33FB9C4259F1}"/>
            </c:ext>
          </c:extLst>
        </c:ser>
        <c:ser>
          <c:idx val="0"/>
          <c:order val="2"/>
          <c:tx>
            <c:strRef>
              <c:f>'Viajeros entr evol mensu TF'!$K$249:$L$249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567-4EEB-943A-33FB9C4259F1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TF'!$K$251:$K$263</c:f>
              <c:numCache>
                <c:formatCode>#,##0</c:formatCode>
                <c:ptCount val="13"/>
                <c:pt idx="0">
                  <c:v>616</c:v>
                </c:pt>
                <c:pt idx="1">
                  <c:v>638</c:v>
                </c:pt>
                <c:pt idx="2">
                  <c:v>499</c:v>
                </c:pt>
                <c:pt idx="3">
                  <c:v>203</c:v>
                </c:pt>
                <c:pt idx="4">
                  <c:v>22</c:v>
                </c:pt>
                <c:pt idx="5">
                  <c:v>6</c:v>
                </c:pt>
                <c:pt idx="6">
                  <c:v>17</c:v>
                </c:pt>
                <c:pt idx="7">
                  <c:v>25</c:v>
                </c:pt>
                <c:pt idx="8">
                  <c:v>10</c:v>
                </c:pt>
                <c:pt idx="9">
                  <c:v>176</c:v>
                </c:pt>
                <c:pt idx="10">
                  <c:v>514</c:v>
                </c:pt>
                <c:pt idx="11">
                  <c:v>676</c:v>
                </c:pt>
                <c:pt idx="12">
                  <c:v>3402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567-4EEB-943A-33FB9C4259F1}"/>
            </c:ext>
          </c:extLst>
        </c:ser>
        <c:ser>
          <c:idx val="1"/>
          <c:order val="3"/>
          <c:tx>
            <c:strRef>
              <c:f>'Viajeros entr evol mensu TF'!$M$249:$N$249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567-4EEB-943A-33FB9C4259F1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567-4EEB-943A-33FB9C4259F1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TF'!$M$251:$M$263</c:f>
              <c:numCache>
                <c:formatCode>#,##0</c:formatCode>
                <c:ptCount val="13"/>
                <c:pt idx="0">
                  <c:v>664</c:v>
                </c:pt>
                <c:pt idx="1">
                  <c:v>582</c:v>
                </c:pt>
                <c:pt idx="2">
                  <c:v>650</c:v>
                </c:pt>
                <c:pt idx="3">
                  <c:v>320</c:v>
                </c:pt>
                <c:pt idx="4">
                  <c:v>9</c:v>
                </c:pt>
                <c:pt idx="5">
                  <c:v>23</c:v>
                </c:pt>
                <c:pt idx="6">
                  <c:v>57</c:v>
                </c:pt>
                <c:pt idx="7">
                  <c:v>11</c:v>
                </c:pt>
                <c:pt idx="8">
                  <c:v>17</c:v>
                </c:pt>
                <c:pt idx="12">
                  <c:v>2333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567-4EEB-943A-33FB9C425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TF'!$C$249:$D$249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567-4EEB-943A-33FB9C4259F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TF'!$C$251:$C$263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611</c:v>
                      </c:pt>
                      <c:pt idx="1">
                        <c:v>1068</c:v>
                      </c:pt>
                      <c:pt idx="2">
                        <c:v>282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2</c:v>
                      </c:pt>
                      <c:pt idx="9">
                        <c:v>2</c:v>
                      </c:pt>
                      <c:pt idx="10">
                        <c:v>3</c:v>
                      </c:pt>
                      <c:pt idx="11">
                        <c:v>6</c:v>
                      </c:pt>
                      <c:pt idx="12">
                        <c:v>1979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567-4EEB-943A-33FB9C4259F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TF'!$N$250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567-4EEB-943A-33FB9C4259F1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567-4EEB-943A-33FB9C4259F1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567-4EEB-943A-33FB9C4259F1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567-4EEB-943A-33FB9C4259F1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567-4EEB-943A-33FB9C4259F1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567-4EEB-943A-33FB9C4259F1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567-4EEB-943A-33FB9C4259F1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567-4EEB-943A-33FB9C4259F1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567-4EEB-943A-33FB9C4259F1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567-4EEB-943A-33FB9C4259F1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567-4EEB-943A-33FB9C4259F1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567-4EEB-943A-33FB9C4259F1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567-4EEB-943A-33FB9C4259F1}"/>
              </c:ext>
            </c:extLst>
          </c:dPt>
          <c:cat>
            <c:strRef>
              <c:f>'Viajeros entr evol mensu TF'!$B$251:$B$262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TF'!$N$251:$N$263</c:f>
              <c:numCache>
                <c:formatCode>0.0%</c:formatCode>
                <c:ptCount val="13"/>
                <c:pt idx="0">
                  <c:v>7.7922077922077948E-2</c:v>
                </c:pt>
                <c:pt idx="1">
                  <c:v>-8.7774294670846409E-2</c:v>
                </c:pt>
                <c:pt idx="2">
                  <c:v>0.30260521042084165</c:v>
                </c:pt>
                <c:pt idx="3">
                  <c:v>0.57635467980295574</c:v>
                </c:pt>
                <c:pt idx="4">
                  <c:v>-0.59090909090909083</c:v>
                </c:pt>
                <c:pt idx="5">
                  <c:v>2.8333333333333335</c:v>
                </c:pt>
                <c:pt idx="6">
                  <c:v>2.3529411764705883</c:v>
                </c:pt>
                <c:pt idx="7">
                  <c:v>-0.56000000000000005</c:v>
                </c:pt>
                <c:pt idx="8">
                  <c:v>0.7</c:v>
                </c:pt>
                <c:pt idx="12">
                  <c:v>0.1458742632612966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567-4EEB-943A-33FB9C425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6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TF'!$I$271:$J$271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74B-4A99-9A48-38DC2426B593}"/>
              </c:ext>
            </c:extLst>
          </c:dPt>
          <c:val>
            <c:numRef>
              <c:f>'Viajeros entr evol mensu TF'!$I$273:$I$285</c:f>
              <c:numCache>
                <c:formatCode>#,##0</c:formatCode>
                <c:ptCount val="13"/>
                <c:pt idx="0">
                  <c:v>528</c:v>
                </c:pt>
                <c:pt idx="1">
                  <c:v>457</c:v>
                </c:pt>
                <c:pt idx="2">
                  <c:v>280</c:v>
                </c:pt>
                <c:pt idx="3">
                  <c:v>281</c:v>
                </c:pt>
                <c:pt idx="4">
                  <c:v>28</c:v>
                </c:pt>
                <c:pt idx="5">
                  <c:v>11</c:v>
                </c:pt>
                <c:pt idx="6">
                  <c:v>13</c:v>
                </c:pt>
                <c:pt idx="7">
                  <c:v>32</c:v>
                </c:pt>
                <c:pt idx="8">
                  <c:v>11</c:v>
                </c:pt>
                <c:pt idx="9">
                  <c:v>132</c:v>
                </c:pt>
                <c:pt idx="10">
                  <c:v>543</c:v>
                </c:pt>
                <c:pt idx="11">
                  <c:v>569</c:v>
                </c:pt>
                <c:pt idx="12">
                  <c:v>2885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4B-4A99-9A48-38DC2426B593}"/>
            </c:ext>
          </c:extLst>
        </c:ser>
        <c:ser>
          <c:idx val="0"/>
          <c:order val="2"/>
          <c:tx>
            <c:strRef>
              <c:f>'Viajeros entr evol mensu TF'!$K$271:$L$271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74B-4A99-9A48-38DC2426B593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TF'!$K$273:$K$285</c:f>
              <c:numCache>
                <c:formatCode>#,##0</c:formatCode>
                <c:ptCount val="13"/>
                <c:pt idx="0">
                  <c:v>491</c:v>
                </c:pt>
                <c:pt idx="1">
                  <c:v>407</c:v>
                </c:pt>
                <c:pt idx="2">
                  <c:v>446</c:v>
                </c:pt>
                <c:pt idx="3">
                  <c:v>96</c:v>
                </c:pt>
                <c:pt idx="4">
                  <c:v>14</c:v>
                </c:pt>
                <c:pt idx="5">
                  <c:v>5</c:v>
                </c:pt>
                <c:pt idx="6">
                  <c:v>25</c:v>
                </c:pt>
                <c:pt idx="7">
                  <c:v>3</c:v>
                </c:pt>
                <c:pt idx="8">
                  <c:v>12</c:v>
                </c:pt>
                <c:pt idx="9">
                  <c:v>229</c:v>
                </c:pt>
                <c:pt idx="10">
                  <c:v>519</c:v>
                </c:pt>
                <c:pt idx="11">
                  <c:v>484</c:v>
                </c:pt>
                <c:pt idx="12">
                  <c:v>2731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74B-4A99-9A48-38DC2426B593}"/>
            </c:ext>
          </c:extLst>
        </c:ser>
        <c:ser>
          <c:idx val="1"/>
          <c:order val="3"/>
          <c:tx>
            <c:strRef>
              <c:f>'Viajeros entr evol mensu TF'!$M$271:$N$271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74B-4A99-9A48-38DC2426B593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74B-4A99-9A48-38DC2426B593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TF'!$M$273:$M$285</c:f>
              <c:numCache>
                <c:formatCode>#,##0</c:formatCode>
                <c:ptCount val="13"/>
                <c:pt idx="0">
                  <c:v>342</c:v>
                </c:pt>
                <c:pt idx="1">
                  <c:v>288</c:v>
                </c:pt>
                <c:pt idx="2">
                  <c:v>331</c:v>
                </c:pt>
                <c:pt idx="3">
                  <c:v>95</c:v>
                </c:pt>
                <c:pt idx="4">
                  <c:v>14</c:v>
                </c:pt>
                <c:pt idx="5">
                  <c:v>23</c:v>
                </c:pt>
                <c:pt idx="6">
                  <c:v>25</c:v>
                </c:pt>
                <c:pt idx="7">
                  <c:v>8</c:v>
                </c:pt>
                <c:pt idx="8">
                  <c:v>7</c:v>
                </c:pt>
                <c:pt idx="12">
                  <c:v>1133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74B-4A99-9A48-38DC2426B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TF'!$C$271:$D$271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74B-4A99-9A48-38DC2426B593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TF'!$C$273:$C$285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1321</c:v>
                      </c:pt>
                      <c:pt idx="1">
                        <c:v>2158</c:v>
                      </c:pt>
                      <c:pt idx="2">
                        <c:v>454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</c:v>
                      </c:pt>
                      <c:pt idx="8">
                        <c:v>0</c:v>
                      </c:pt>
                      <c:pt idx="9">
                        <c:v>57</c:v>
                      </c:pt>
                      <c:pt idx="10">
                        <c:v>35</c:v>
                      </c:pt>
                      <c:pt idx="11">
                        <c:v>12</c:v>
                      </c:pt>
                      <c:pt idx="12">
                        <c:v>4050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74B-4A99-9A48-38DC2426B593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TF'!$N$272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74B-4A99-9A48-38DC2426B593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74B-4A99-9A48-38DC2426B593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74B-4A99-9A48-38DC2426B593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74B-4A99-9A48-38DC2426B593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74B-4A99-9A48-38DC2426B593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74B-4A99-9A48-38DC2426B593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74B-4A99-9A48-38DC2426B593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74B-4A99-9A48-38DC2426B593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74B-4A99-9A48-38DC2426B593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74B-4A99-9A48-38DC2426B593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74B-4A99-9A48-38DC2426B593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74B-4A99-9A48-38DC2426B593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74B-4A99-9A48-38DC2426B593}"/>
              </c:ext>
            </c:extLst>
          </c:dPt>
          <c:cat>
            <c:strRef>
              <c:f>'Viajeros entr evol mensu TF'!$B$273:$B$284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TF'!$N$273:$N$285</c:f>
              <c:numCache>
                <c:formatCode>0.0%</c:formatCode>
                <c:ptCount val="13"/>
                <c:pt idx="0">
                  <c:v>-0.30346232179226074</c:v>
                </c:pt>
                <c:pt idx="1">
                  <c:v>-0.29238329238329241</c:v>
                </c:pt>
                <c:pt idx="2">
                  <c:v>-0.25784753363228696</c:v>
                </c:pt>
                <c:pt idx="3">
                  <c:v>-1.041666666666663E-2</c:v>
                </c:pt>
                <c:pt idx="4">
                  <c:v>0</c:v>
                </c:pt>
                <c:pt idx="5">
                  <c:v>3.5999999999999996</c:v>
                </c:pt>
                <c:pt idx="6">
                  <c:v>0</c:v>
                </c:pt>
                <c:pt idx="7">
                  <c:v>1.6666666666666665</c:v>
                </c:pt>
                <c:pt idx="8">
                  <c:v>-0.41666666666666663</c:v>
                </c:pt>
                <c:pt idx="12">
                  <c:v>-0.24416277518345564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74B-4A99-9A48-38DC2426B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7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79C-42D1-A654-A788D93CF7F6}"/>
              </c:ext>
            </c:extLst>
          </c:dPt>
          <c:val>
            <c:numRef>
              <c:f>'Viajeros entr evol mensu TF cat'!$I$9:$I$21</c:f>
              <c:numCache>
                <c:formatCode>#,##0</c:formatCode>
                <c:ptCount val="13"/>
                <c:pt idx="0">
                  <c:v>22490</c:v>
                </c:pt>
                <c:pt idx="1">
                  <c:v>23086</c:v>
                </c:pt>
                <c:pt idx="2">
                  <c:v>21689</c:v>
                </c:pt>
                <c:pt idx="3">
                  <c:v>23484</c:v>
                </c:pt>
                <c:pt idx="4">
                  <c:v>21547</c:v>
                </c:pt>
                <c:pt idx="5">
                  <c:v>21065</c:v>
                </c:pt>
                <c:pt idx="6">
                  <c:v>24276</c:v>
                </c:pt>
                <c:pt idx="7">
                  <c:v>25495</c:v>
                </c:pt>
                <c:pt idx="8">
                  <c:v>22106</c:v>
                </c:pt>
                <c:pt idx="9">
                  <c:v>25007</c:v>
                </c:pt>
                <c:pt idx="10">
                  <c:v>24207</c:v>
                </c:pt>
                <c:pt idx="11">
                  <c:v>24142</c:v>
                </c:pt>
                <c:pt idx="12">
                  <c:v>278594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9C-42D1-A654-A788D93CF7F6}"/>
            </c:ext>
          </c:extLst>
        </c:ser>
        <c:ser>
          <c:idx val="0"/>
          <c:order val="2"/>
          <c:tx>
            <c:strRef>
              <c:f>'Viajeros entr evol mensu TF cat'!$K$7:$L$7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79C-42D1-A654-A788D93CF7F6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cat'!$K$9:$K$21</c:f>
              <c:numCache>
                <c:formatCode>#,##0</c:formatCode>
                <c:ptCount val="13"/>
                <c:pt idx="0">
                  <c:v>22650</c:v>
                </c:pt>
                <c:pt idx="1">
                  <c:v>23921</c:v>
                </c:pt>
                <c:pt idx="2">
                  <c:v>27356</c:v>
                </c:pt>
                <c:pt idx="3">
                  <c:v>22205</c:v>
                </c:pt>
                <c:pt idx="4">
                  <c:v>23449</c:v>
                </c:pt>
                <c:pt idx="5">
                  <c:v>22841</c:v>
                </c:pt>
                <c:pt idx="6">
                  <c:v>24893</c:v>
                </c:pt>
                <c:pt idx="7">
                  <c:v>25319</c:v>
                </c:pt>
                <c:pt idx="8">
                  <c:v>21182</c:v>
                </c:pt>
                <c:pt idx="9">
                  <c:v>27341</c:v>
                </c:pt>
                <c:pt idx="10">
                  <c:v>23363</c:v>
                </c:pt>
                <c:pt idx="11">
                  <c:v>23290</c:v>
                </c:pt>
                <c:pt idx="12">
                  <c:v>287810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79C-42D1-A654-A788D93CF7F6}"/>
            </c:ext>
          </c:extLst>
        </c:ser>
        <c:ser>
          <c:idx val="1"/>
          <c:order val="3"/>
          <c:tx>
            <c:strRef>
              <c:f>'Viajeros entr evol mensu TF cat'!$M$7:$N$7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79C-42D1-A654-A788D93CF7F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79C-42D1-A654-A788D93CF7F6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cat'!$M$9:$M$21</c:f>
              <c:numCache>
                <c:formatCode>#,##0</c:formatCode>
                <c:ptCount val="13"/>
                <c:pt idx="0">
                  <c:v>22528</c:v>
                </c:pt>
                <c:pt idx="1">
                  <c:v>23285</c:v>
                </c:pt>
                <c:pt idx="2">
                  <c:v>24054</c:v>
                </c:pt>
                <c:pt idx="3">
                  <c:v>23503</c:v>
                </c:pt>
                <c:pt idx="4">
                  <c:v>19536</c:v>
                </c:pt>
                <c:pt idx="5">
                  <c:v>23159</c:v>
                </c:pt>
                <c:pt idx="6">
                  <c:v>27952</c:v>
                </c:pt>
                <c:pt idx="7">
                  <c:v>25459</c:v>
                </c:pt>
                <c:pt idx="8">
                  <c:v>24257</c:v>
                </c:pt>
                <c:pt idx="12">
                  <c:v>213733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79C-42D1-A654-A788D93CF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79C-42D1-A654-A788D93CF7F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21031</c:v>
                      </c:pt>
                      <c:pt idx="1">
                        <c:v>22403</c:v>
                      </c:pt>
                      <c:pt idx="2">
                        <c:v>8865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13295</c:v>
                      </c:pt>
                      <c:pt idx="8">
                        <c:v>5725</c:v>
                      </c:pt>
                      <c:pt idx="9">
                        <c:v>6665</c:v>
                      </c:pt>
                      <c:pt idx="10">
                        <c:v>4928</c:v>
                      </c:pt>
                      <c:pt idx="11">
                        <c:v>6261</c:v>
                      </c:pt>
                      <c:pt idx="12">
                        <c:v>96681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79C-42D1-A654-A788D93CF7F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79C-42D1-A654-A788D93CF7F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79C-42D1-A654-A788D93CF7F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79C-42D1-A654-A788D93CF7F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79C-42D1-A654-A788D93CF7F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79C-42D1-A654-A788D93CF7F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79C-42D1-A654-A788D93CF7F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79C-42D1-A654-A788D93CF7F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79C-42D1-A654-A788D93CF7F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79C-42D1-A654-A788D93CF7F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79C-42D1-A654-A788D93CF7F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79C-42D1-A654-A788D93CF7F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79C-42D1-A654-A788D93CF7F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79C-42D1-A654-A788D93CF7F6}"/>
              </c:ext>
            </c:extLst>
          </c:dPt>
          <c:cat>
            <c:strRef>
              <c:f>'Viajeros entr evol mensu TF cat'!$B$9:$B$20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cat'!$N$9:$N$21</c:f>
              <c:numCache>
                <c:formatCode>0.0%</c:formatCode>
                <c:ptCount val="13"/>
                <c:pt idx="0">
                  <c:v>-5.3863134657836653E-3</c:v>
                </c:pt>
                <c:pt idx="1">
                  <c:v>-2.6587517244262338E-2</c:v>
                </c:pt>
                <c:pt idx="2">
                  <c:v>-0.12070478140078955</c:v>
                </c:pt>
                <c:pt idx="3">
                  <c:v>5.845530285971634E-2</c:v>
                </c:pt>
                <c:pt idx="4">
                  <c:v>-0.16687278775214298</c:v>
                </c:pt>
                <c:pt idx="5">
                  <c:v>1.3922332647432256E-2</c:v>
                </c:pt>
                <c:pt idx="6">
                  <c:v>0.12288595187402085</c:v>
                </c:pt>
                <c:pt idx="7">
                  <c:v>5.5294442908486729E-3</c:v>
                </c:pt>
                <c:pt idx="8">
                  <c:v>0.14517042772165056</c:v>
                </c:pt>
                <c:pt idx="12">
                  <c:v>-3.8818423317243944E-4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79C-42D1-A654-A788D93CF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0624332445310046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3E3-485F-851D-7E8AC0868648}"/>
              </c:ext>
            </c:extLst>
          </c:dPt>
          <c:val>
            <c:numRef>
              <c:f>'Viajeros entr evol mensu TF cat'!$I$31:$I$43</c:f>
              <c:numCache>
                <c:formatCode>#,##0</c:formatCode>
                <c:ptCount val="13"/>
                <c:pt idx="0">
                  <c:v>18402</c:v>
                </c:pt>
                <c:pt idx="1">
                  <c:v>18976</c:v>
                </c:pt>
                <c:pt idx="2">
                  <c:v>17386</c:v>
                </c:pt>
                <c:pt idx="3">
                  <c:v>19332</c:v>
                </c:pt>
                <c:pt idx="4">
                  <c:v>18326</c:v>
                </c:pt>
                <c:pt idx="5">
                  <c:v>17783</c:v>
                </c:pt>
                <c:pt idx="6">
                  <c:v>20245</c:v>
                </c:pt>
                <c:pt idx="7">
                  <c:v>20391</c:v>
                </c:pt>
                <c:pt idx="8">
                  <c:v>18135</c:v>
                </c:pt>
                <c:pt idx="9">
                  <c:v>20522</c:v>
                </c:pt>
                <c:pt idx="10">
                  <c:v>20019</c:v>
                </c:pt>
                <c:pt idx="11">
                  <c:v>19529</c:v>
                </c:pt>
                <c:pt idx="12">
                  <c:v>229046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E3-485F-851D-7E8AC0868648}"/>
            </c:ext>
          </c:extLst>
        </c:ser>
        <c:ser>
          <c:idx val="0"/>
          <c:order val="2"/>
          <c:tx>
            <c:strRef>
              <c:f>'Viajeros entr evol mensu TF cat'!$K$29:$L$29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3E3-485F-851D-7E8AC0868648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cat'!$K$31:$K$43</c:f>
              <c:numCache>
                <c:formatCode>#,##0</c:formatCode>
                <c:ptCount val="13"/>
                <c:pt idx="0">
                  <c:v>18282</c:v>
                </c:pt>
                <c:pt idx="1">
                  <c:v>20148</c:v>
                </c:pt>
                <c:pt idx="2">
                  <c:v>22158</c:v>
                </c:pt>
                <c:pt idx="3">
                  <c:v>18488</c:v>
                </c:pt>
                <c:pt idx="4">
                  <c:v>19636</c:v>
                </c:pt>
                <c:pt idx="5">
                  <c:v>19273</c:v>
                </c:pt>
                <c:pt idx="6">
                  <c:v>20528</c:v>
                </c:pt>
                <c:pt idx="7">
                  <c:v>20545</c:v>
                </c:pt>
                <c:pt idx="8">
                  <c:v>17254</c:v>
                </c:pt>
                <c:pt idx="9">
                  <c:v>22570</c:v>
                </c:pt>
                <c:pt idx="10">
                  <c:v>18565</c:v>
                </c:pt>
                <c:pt idx="11">
                  <c:v>18483</c:v>
                </c:pt>
                <c:pt idx="12">
                  <c:v>235930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3E3-485F-851D-7E8AC0868648}"/>
            </c:ext>
          </c:extLst>
        </c:ser>
        <c:ser>
          <c:idx val="1"/>
          <c:order val="3"/>
          <c:tx>
            <c:strRef>
              <c:f>'Viajeros entr evol mensu TF cat'!$M$29:$N$29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3E3-485F-851D-7E8AC086864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3E3-485F-851D-7E8AC0868648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cat'!$M$31:$M$43</c:f>
              <c:numCache>
                <c:formatCode>#,##0</c:formatCode>
                <c:ptCount val="13"/>
                <c:pt idx="0">
                  <c:v>18130</c:v>
                </c:pt>
                <c:pt idx="1">
                  <c:v>19062</c:v>
                </c:pt>
                <c:pt idx="2">
                  <c:v>19601</c:v>
                </c:pt>
                <c:pt idx="3">
                  <c:v>19232</c:v>
                </c:pt>
                <c:pt idx="4">
                  <c:v>15443</c:v>
                </c:pt>
                <c:pt idx="5">
                  <c:v>19200</c:v>
                </c:pt>
                <c:pt idx="6">
                  <c:v>22688</c:v>
                </c:pt>
                <c:pt idx="7">
                  <c:v>19559</c:v>
                </c:pt>
                <c:pt idx="8">
                  <c:v>20129</c:v>
                </c:pt>
                <c:pt idx="12">
                  <c:v>173044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3E3-485F-851D-7E8AC08686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03E3-485F-851D-7E8AC086864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15979</c:v>
                      </c:pt>
                      <c:pt idx="1">
                        <c:v>17138</c:v>
                      </c:pt>
                      <c:pt idx="2">
                        <c:v>6170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11531</c:v>
                      </c:pt>
                      <c:pt idx="8">
                        <c:v>4549</c:v>
                      </c:pt>
                      <c:pt idx="9">
                        <c:v>5837</c:v>
                      </c:pt>
                      <c:pt idx="10">
                        <c:v>4402</c:v>
                      </c:pt>
                      <c:pt idx="11">
                        <c:v>5416</c:v>
                      </c:pt>
                      <c:pt idx="12">
                        <c:v>77095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03E3-485F-851D-7E8AC086864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3E3-485F-851D-7E8AC086864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3E3-485F-851D-7E8AC086864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3E3-485F-851D-7E8AC086864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3E3-485F-851D-7E8AC086864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3E3-485F-851D-7E8AC086864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3E3-485F-851D-7E8AC086864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3E3-485F-851D-7E8AC086864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3E3-485F-851D-7E8AC086864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3E3-485F-851D-7E8AC086864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3E3-485F-851D-7E8AC086864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3E3-485F-851D-7E8AC086864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03E3-485F-851D-7E8AC086864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03E3-485F-851D-7E8AC0868648}"/>
              </c:ext>
            </c:extLst>
          </c:dPt>
          <c:cat>
            <c:strRef>
              <c:f>'Viajeros entr evol mensu TF cat'!$B$31:$B$42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cat'!$N$31:$N$43</c:f>
              <c:numCache>
                <c:formatCode>0.0%</c:formatCode>
                <c:ptCount val="13"/>
                <c:pt idx="0">
                  <c:v>-8.3141888196039959E-3</c:v>
                </c:pt>
                <c:pt idx="1">
                  <c:v>-5.390113162596788E-2</c:v>
                </c:pt>
                <c:pt idx="2">
                  <c:v>-0.11539850166982579</c:v>
                </c:pt>
                <c:pt idx="3">
                  <c:v>4.0242319342276067E-2</c:v>
                </c:pt>
                <c:pt idx="4">
                  <c:v>-0.21353636178447744</c:v>
                </c:pt>
                <c:pt idx="5">
                  <c:v>-3.7876822497794338E-3</c:v>
                </c:pt>
                <c:pt idx="6">
                  <c:v>0.10522213561964144</c:v>
                </c:pt>
                <c:pt idx="7">
                  <c:v>-4.7992212217084496E-2</c:v>
                </c:pt>
                <c:pt idx="8">
                  <c:v>0.16662802828329659</c:v>
                </c:pt>
                <c:pt idx="12">
                  <c:v>-1.853532374427147E-2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3E3-485F-851D-7E8AC08686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1187294267900032"/>
          <c:w val="0.86939722222222227"/>
          <c:h val="0.42070463713947498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263-4BF9-8214-840E537D0F79}"/>
              </c:ext>
            </c:extLst>
          </c:dPt>
          <c:val>
            <c:numRef>
              <c:f>'Viajeros entr evol mensu TF cat'!$I$53:$I$65</c:f>
              <c:numCache>
                <c:formatCode>#,##0</c:formatCode>
                <c:ptCount val="13"/>
                <c:pt idx="0">
                  <c:v>14935</c:v>
                </c:pt>
                <c:pt idx="1">
                  <c:v>15417</c:v>
                </c:pt>
                <c:pt idx="2">
                  <c:v>13769</c:v>
                </c:pt>
                <c:pt idx="3">
                  <c:v>15420</c:v>
                </c:pt>
                <c:pt idx="4">
                  <c:v>14308</c:v>
                </c:pt>
                <c:pt idx="5">
                  <c:v>13809</c:v>
                </c:pt>
                <c:pt idx="6">
                  <c:v>15626</c:v>
                </c:pt>
                <c:pt idx="7">
                  <c:v>15580</c:v>
                </c:pt>
                <c:pt idx="8">
                  <c:v>14015</c:v>
                </c:pt>
                <c:pt idx="9">
                  <c:v>15893</c:v>
                </c:pt>
                <c:pt idx="10">
                  <c:v>15821</c:v>
                </c:pt>
                <c:pt idx="11">
                  <c:v>15445</c:v>
                </c:pt>
                <c:pt idx="12">
                  <c:v>180038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63-4BF9-8214-840E537D0F79}"/>
            </c:ext>
          </c:extLst>
        </c:ser>
        <c:ser>
          <c:idx val="0"/>
          <c:order val="2"/>
          <c:tx>
            <c:strRef>
              <c:f>'Viajeros entr evol mensu TF cat'!$K$51:$L$51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263-4BF9-8214-840E537D0F79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cat'!$K$53:$K$65</c:f>
              <c:numCache>
                <c:formatCode>#,##0</c:formatCode>
                <c:ptCount val="13"/>
                <c:pt idx="0">
                  <c:v>14354</c:v>
                </c:pt>
                <c:pt idx="1">
                  <c:v>15736</c:v>
                </c:pt>
                <c:pt idx="2">
                  <c:v>17491</c:v>
                </c:pt>
                <c:pt idx="3">
                  <c:v>14826</c:v>
                </c:pt>
                <c:pt idx="4">
                  <c:v>15219</c:v>
                </c:pt>
                <c:pt idx="5">
                  <c:v>14680</c:v>
                </c:pt>
                <c:pt idx="6">
                  <c:v>15688</c:v>
                </c:pt>
                <c:pt idx="7">
                  <c:v>15273</c:v>
                </c:pt>
                <c:pt idx="8">
                  <c:v>12989</c:v>
                </c:pt>
                <c:pt idx="9">
                  <c:v>17980</c:v>
                </c:pt>
                <c:pt idx="10">
                  <c:v>14412</c:v>
                </c:pt>
                <c:pt idx="11">
                  <c:v>14687</c:v>
                </c:pt>
                <c:pt idx="12">
                  <c:v>183335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263-4BF9-8214-840E537D0F79}"/>
            </c:ext>
          </c:extLst>
        </c:ser>
        <c:ser>
          <c:idx val="1"/>
          <c:order val="3"/>
          <c:tx>
            <c:strRef>
              <c:f>'Viajeros entr evol mensu TF cat'!$M$51:$N$51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263-4BF9-8214-840E537D0F7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6263-4BF9-8214-840E537D0F79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cat'!$M$53:$M$65</c:f>
              <c:numCache>
                <c:formatCode>#,##0</c:formatCode>
                <c:ptCount val="13"/>
                <c:pt idx="0">
                  <c:v>14208</c:v>
                </c:pt>
                <c:pt idx="1">
                  <c:v>15122</c:v>
                </c:pt>
                <c:pt idx="2">
                  <c:v>15694</c:v>
                </c:pt>
                <c:pt idx="3">
                  <c:v>15532</c:v>
                </c:pt>
                <c:pt idx="4">
                  <c:v>10784</c:v>
                </c:pt>
                <c:pt idx="5">
                  <c:v>14746</c:v>
                </c:pt>
                <c:pt idx="6">
                  <c:v>17978</c:v>
                </c:pt>
                <c:pt idx="7">
                  <c:v>14386</c:v>
                </c:pt>
                <c:pt idx="8">
                  <c:v>16265</c:v>
                </c:pt>
                <c:pt idx="12">
                  <c:v>134715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263-4BF9-8214-840E537D0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6263-4BF9-8214-840E537D0F7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13232</c:v>
                      </c:pt>
                      <c:pt idx="1">
                        <c:v>14090</c:v>
                      </c:pt>
                      <c:pt idx="2">
                        <c:v>5212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8422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6263-4BF9-8214-840E537D0F7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263-4BF9-8214-840E537D0F7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263-4BF9-8214-840E537D0F7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263-4BF9-8214-840E537D0F7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263-4BF9-8214-840E537D0F7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263-4BF9-8214-840E537D0F7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263-4BF9-8214-840E537D0F7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263-4BF9-8214-840E537D0F7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263-4BF9-8214-840E537D0F7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263-4BF9-8214-840E537D0F7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6263-4BF9-8214-840E537D0F7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6263-4BF9-8214-840E537D0F7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6263-4BF9-8214-840E537D0F7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6263-4BF9-8214-840E537D0F79}"/>
              </c:ext>
            </c:extLst>
          </c:dPt>
          <c:cat>
            <c:strRef>
              <c:f>'Viajeros entr evol mensu TF cat'!$B$53:$B$64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cat'!$N$53:$N$65</c:f>
              <c:numCache>
                <c:formatCode>0.0%</c:formatCode>
                <c:ptCount val="13"/>
                <c:pt idx="0">
                  <c:v>-1.0171380799777086E-2</c:v>
                </c:pt>
                <c:pt idx="1">
                  <c:v>-3.9018810371123536E-2</c:v>
                </c:pt>
                <c:pt idx="2">
                  <c:v>-0.10273855125493114</c:v>
                </c:pt>
                <c:pt idx="3">
                  <c:v>4.7619047619047672E-2</c:v>
                </c:pt>
                <c:pt idx="4">
                  <c:v>-0.29141205072606613</c:v>
                </c:pt>
                <c:pt idx="5">
                  <c:v>4.4959128065396037E-3</c:v>
                </c:pt>
                <c:pt idx="6">
                  <c:v>0.14597144314125443</c:v>
                </c:pt>
                <c:pt idx="7">
                  <c:v>-5.8076343874811753E-2</c:v>
                </c:pt>
                <c:pt idx="8">
                  <c:v>0.25221341134806385</c:v>
                </c:pt>
                <c:pt idx="12">
                  <c:v>-1.1309593705965293E-2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263-4BF9-8214-840E537D0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205497302908249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B72-46BF-8B58-A2907731374C}"/>
              </c:ext>
            </c:extLst>
          </c:dPt>
          <c:val>
            <c:numRef>
              <c:f>'Viajeros entr evol mensu TF cat'!$I$75:$I$87</c:f>
              <c:numCache>
                <c:formatCode>#,##0</c:formatCode>
                <c:ptCount val="13"/>
                <c:pt idx="0">
                  <c:v>3467</c:v>
                </c:pt>
                <c:pt idx="1">
                  <c:v>3559</c:v>
                </c:pt>
                <c:pt idx="2">
                  <c:v>3617</c:v>
                </c:pt>
                <c:pt idx="3">
                  <c:v>3912</c:v>
                </c:pt>
                <c:pt idx="4">
                  <c:v>4018</c:v>
                </c:pt>
                <c:pt idx="5">
                  <c:v>3974</c:v>
                </c:pt>
                <c:pt idx="6">
                  <c:v>4619</c:v>
                </c:pt>
                <c:pt idx="7">
                  <c:v>4811</c:v>
                </c:pt>
                <c:pt idx="8">
                  <c:v>4120</c:v>
                </c:pt>
                <c:pt idx="9">
                  <c:v>4629</c:v>
                </c:pt>
                <c:pt idx="10">
                  <c:v>4198</c:v>
                </c:pt>
                <c:pt idx="11">
                  <c:v>4084</c:v>
                </c:pt>
                <c:pt idx="12">
                  <c:v>49008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72-46BF-8B58-A2907731374C}"/>
            </c:ext>
          </c:extLst>
        </c:ser>
        <c:ser>
          <c:idx val="0"/>
          <c:order val="2"/>
          <c:tx>
            <c:strRef>
              <c:f>'Viajeros entr evol mensu TF cat'!$K$73:$L$73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B72-46BF-8B58-A2907731374C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cat'!$K$75:$K$87</c:f>
              <c:numCache>
                <c:formatCode>#,##0</c:formatCode>
                <c:ptCount val="13"/>
                <c:pt idx="0">
                  <c:v>3928</c:v>
                </c:pt>
                <c:pt idx="1">
                  <c:v>4412</c:v>
                </c:pt>
                <c:pt idx="2">
                  <c:v>4667</c:v>
                </c:pt>
                <c:pt idx="3">
                  <c:v>3662</c:v>
                </c:pt>
                <c:pt idx="4">
                  <c:v>4417</c:v>
                </c:pt>
                <c:pt idx="5">
                  <c:v>4593</c:v>
                </c:pt>
                <c:pt idx="6">
                  <c:v>4840</c:v>
                </c:pt>
                <c:pt idx="7">
                  <c:v>5272</c:v>
                </c:pt>
                <c:pt idx="8">
                  <c:v>4265</c:v>
                </c:pt>
                <c:pt idx="9">
                  <c:v>4590</c:v>
                </c:pt>
                <c:pt idx="10">
                  <c:v>4153</c:v>
                </c:pt>
                <c:pt idx="11">
                  <c:v>3796</c:v>
                </c:pt>
                <c:pt idx="12">
                  <c:v>52595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B72-46BF-8B58-A2907731374C}"/>
            </c:ext>
          </c:extLst>
        </c:ser>
        <c:ser>
          <c:idx val="1"/>
          <c:order val="3"/>
          <c:tx>
            <c:strRef>
              <c:f>'Viajeros entr evol mensu TF cat'!$M$73:$N$73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B72-46BF-8B58-A2907731374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B72-46BF-8B58-A2907731374C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cat'!$M$75:$M$87</c:f>
              <c:numCache>
                <c:formatCode>#,##0</c:formatCode>
                <c:ptCount val="13"/>
                <c:pt idx="0">
                  <c:v>3922</c:v>
                </c:pt>
                <c:pt idx="1">
                  <c:v>3940</c:v>
                </c:pt>
                <c:pt idx="2">
                  <c:v>3907</c:v>
                </c:pt>
                <c:pt idx="3">
                  <c:v>3700</c:v>
                </c:pt>
                <c:pt idx="4">
                  <c:v>4659</c:v>
                </c:pt>
                <c:pt idx="5">
                  <c:v>4454</c:v>
                </c:pt>
                <c:pt idx="6">
                  <c:v>4710</c:v>
                </c:pt>
                <c:pt idx="7">
                  <c:v>5173</c:v>
                </c:pt>
                <c:pt idx="8">
                  <c:v>3864</c:v>
                </c:pt>
                <c:pt idx="12">
                  <c:v>38329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B72-46BF-8B58-A29077313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B72-46BF-8B58-A2907731374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2747</c:v>
                      </c:pt>
                      <c:pt idx="1">
                        <c:v>3048</c:v>
                      </c:pt>
                      <c:pt idx="2">
                        <c:v>958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3109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B72-46BF-8B58-A2907731374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B72-46BF-8B58-A2907731374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B72-46BF-8B58-A2907731374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B72-46BF-8B58-A2907731374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B72-46BF-8B58-A2907731374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B72-46BF-8B58-A2907731374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B72-46BF-8B58-A2907731374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B72-46BF-8B58-A2907731374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B72-46BF-8B58-A2907731374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B72-46BF-8B58-A2907731374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B72-46BF-8B58-A2907731374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B72-46BF-8B58-A2907731374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B72-46BF-8B58-A2907731374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B72-46BF-8B58-A2907731374C}"/>
              </c:ext>
            </c:extLst>
          </c:dPt>
          <c:cat>
            <c:strRef>
              <c:f>'Viajeros entr evol mensu TF cat'!$B$75:$B$86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cat'!$N$75:$N$87</c:f>
              <c:numCache>
                <c:formatCode>0.0%</c:formatCode>
                <c:ptCount val="13"/>
                <c:pt idx="0">
                  <c:v>-1.5274949083503575E-3</c:v>
                </c:pt>
                <c:pt idx="1">
                  <c:v>-0.10698096101541255</c:v>
                </c:pt>
                <c:pt idx="2">
                  <c:v>-0.16284551103492606</c:v>
                </c:pt>
                <c:pt idx="3">
                  <c:v>1.0376843255051948E-2</c:v>
                </c:pt>
                <c:pt idx="4">
                  <c:v>5.4788317862802804E-2</c:v>
                </c:pt>
                <c:pt idx="5">
                  <c:v>-3.026344437187023E-2</c:v>
                </c:pt>
                <c:pt idx="6">
                  <c:v>-2.6859504132231371E-2</c:v>
                </c:pt>
                <c:pt idx="7">
                  <c:v>-1.8778452200303497E-2</c:v>
                </c:pt>
                <c:pt idx="8">
                  <c:v>-9.4021101992965983E-2</c:v>
                </c:pt>
                <c:pt idx="12">
                  <c:v>-4.3114639504693408E-2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B72-46BF-8B58-A29077313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446751207729469"/>
          <c:y val="0.11476520521627519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FB8-4402-B1AE-9166D727890A}"/>
              </c:ext>
            </c:extLst>
          </c:dPt>
          <c:val>
            <c:numRef>
              <c:f>'Viajeros entr evol mensu TF cat'!$I$97:$I$109</c:f>
              <c:numCache>
                <c:formatCode>#,##0</c:formatCode>
                <c:ptCount val="13"/>
                <c:pt idx="0">
                  <c:v>4088</c:v>
                </c:pt>
                <c:pt idx="1">
                  <c:v>4110</c:v>
                </c:pt>
                <c:pt idx="2">
                  <c:v>4303</c:v>
                </c:pt>
                <c:pt idx="3">
                  <c:v>4152</c:v>
                </c:pt>
                <c:pt idx="4">
                  <c:v>3221</c:v>
                </c:pt>
                <c:pt idx="5">
                  <c:v>3282</c:v>
                </c:pt>
                <c:pt idx="6">
                  <c:v>4031</c:v>
                </c:pt>
                <c:pt idx="7">
                  <c:v>5104</c:v>
                </c:pt>
                <c:pt idx="8">
                  <c:v>3971</c:v>
                </c:pt>
                <c:pt idx="9">
                  <c:v>4485</c:v>
                </c:pt>
                <c:pt idx="10">
                  <c:v>4188</c:v>
                </c:pt>
                <c:pt idx="11">
                  <c:v>4613</c:v>
                </c:pt>
                <c:pt idx="12">
                  <c:v>49548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B8-4402-B1AE-9166D727890A}"/>
            </c:ext>
          </c:extLst>
        </c:ser>
        <c:ser>
          <c:idx val="0"/>
          <c:order val="2"/>
          <c:tx>
            <c:strRef>
              <c:f>'Viajeros entr evol mensu TF cat'!$K$95:$L$95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FB8-4402-B1AE-9166D727890A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cat'!$K$97:$K$109</c:f>
              <c:numCache>
                <c:formatCode>#,##0</c:formatCode>
                <c:ptCount val="13"/>
                <c:pt idx="0">
                  <c:v>4368</c:v>
                </c:pt>
                <c:pt idx="1">
                  <c:v>3773</c:v>
                </c:pt>
                <c:pt idx="2">
                  <c:v>5198</c:v>
                </c:pt>
                <c:pt idx="3">
                  <c:v>3717</c:v>
                </c:pt>
                <c:pt idx="4">
                  <c:v>3813</c:v>
                </c:pt>
                <c:pt idx="5">
                  <c:v>3568</c:v>
                </c:pt>
                <c:pt idx="6">
                  <c:v>4365</c:v>
                </c:pt>
                <c:pt idx="7">
                  <c:v>4774</c:v>
                </c:pt>
                <c:pt idx="8">
                  <c:v>3928</c:v>
                </c:pt>
                <c:pt idx="9">
                  <c:v>4771</c:v>
                </c:pt>
                <c:pt idx="10">
                  <c:v>4798</c:v>
                </c:pt>
                <c:pt idx="11">
                  <c:v>4807</c:v>
                </c:pt>
                <c:pt idx="12">
                  <c:v>51880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FB8-4402-B1AE-9166D727890A}"/>
            </c:ext>
          </c:extLst>
        </c:ser>
        <c:ser>
          <c:idx val="1"/>
          <c:order val="3"/>
          <c:tx>
            <c:strRef>
              <c:f>'Viajeros entr evol mensu TF cat'!$M$95:$N$95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FB8-4402-B1AE-9166D727890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FB8-4402-B1AE-9166D727890A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cat'!$M$97:$M$109</c:f>
              <c:numCache>
                <c:formatCode>#,##0</c:formatCode>
                <c:ptCount val="13"/>
                <c:pt idx="0">
                  <c:v>4398</c:v>
                </c:pt>
                <c:pt idx="1">
                  <c:v>4223</c:v>
                </c:pt>
                <c:pt idx="2">
                  <c:v>4453</c:v>
                </c:pt>
                <c:pt idx="3">
                  <c:v>4271</c:v>
                </c:pt>
                <c:pt idx="4">
                  <c:v>4093</c:v>
                </c:pt>
                <c:pt idx="5">
                  <c:v>3959</c:v>
                </c:pt>
                <c:pt idx="6">
                  <c:v>5264</c:v>
                </c:pt>
                <c:pt idx="7">
                  <c:v>5900</c:v>
                </c:pt>
                <c:pt idx="8">
                  <c:v>4128</c:v>
                </c:pt>
                <c:pt idx="12">
                  <c:v>40689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FB8-4402-B1AE-9166D72789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FB8-4402-B1AE-9166D727890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5052</c:v>
                      </c:pt>
                      <c:pt idx="1">
                        <c:v>5265</c:v>
                      </c:pt>
                      <c:pt idx="2">
                        <c:v>2695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1764</c:v>
                      </c:pt>
                      <c:pt idx="8">
                        <c:v>1176</c:v>
                      </c:pt>
                      <c:pt idx="9">
                        <c:v>828</c:v>
                      </c:pt>
                      <c:pt idx="10">
                        <c:v>526</c:v>
                      </c:pt>
                      <c:pt idx="11">
                        <c:v>845</c:v>
                      </c:pt>
                      <c:pt idx="12">
                        <c:v>19586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FB8-4402-B1AE-9166D727890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FB8-4402-B1AE-9166D727890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FB8-4402-B1AE-9166D727890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FB8-4402-B1AE-9166D727890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FB8-4402-B1AE-9166D727890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FB8-4402-B1AE-9166D727890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FB8-4402-B1AE-9166D727890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FB8-4402-B1AE-9166D727890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FB8-4402-B1AE-9166D727890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FB8-4402-B1AE-9166D727890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FB8-4402-B1AE-9166D727890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FB8-4402-B1AE-9166D727890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FB8-4402-B1AE-9166D727890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FB8-4402-B1AE-9166D727890A}"/>
              </c:ext>
            </c:extLst>
          </c:dPt>
          <c:cat>
            <c:strRef>
              <c:f>'Viajeros entr evol mensu TF cat'!$B$97:$B$108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cat'!$N$97:$N$109</c:f>
              <c:numCache>
                <c:formatCode>0.0%</c:formatCode>
                <c:ptCount val="13"/>
                <c:pt idx="0">
                  <c:v>6.8681318681318437E-3</c:v>
                </c:pt>
                <c:pt idx="1">
                  <c:v>0.11926848661542544</c:v>
                </c:pt>
                <c:pt idx="2">
                  <c:v>-0.14332435552135436</c:v>
                </c:pt>
                <c:pt idx="3">
                  <c:v>0.14904492870594566</c:v>
                </c:pt>
                <c:pt idx="4">
                  <c:v>7.3432992394440122E-2</c:v>
                </c:pt>
                <c:pt idx="5">
                  <c:v>0.109585201793722</c:v>
                </c:pt>
                <c:pt idx="6">
                  <c:v>0.20595647193585331</c:v>
                </c:pt>
                <c:pt idx="7">
                  <c:v>0.23586091328026804</c:v>
                </c:pt>
                <c:pt idx="8">
                  <c:v>5.0916496945010215E-2</c:v>
                </c:pt>
                <c:pt idx="12">
                  <c:v>8.4924274744027306E-2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FB8-4402-B1AE-9166D72789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entr evol anual TF cat'!$B$8:$B$22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cat'!$C$8:$C$22</c:f>
              <c:numCache>
                <c:formatCode>#,##0</c:formatCode>
                <c:ptCount val="15"/>
                <c:pt idx="0">
                  <c:v>287810</c:v>
                </c:pt>
                <c:pt idx="1">
                  <c:v>278594</c:v>
                </c:pt>
                <c:pt idx="2">
                  <c:v>257117</c:v>
                </c:pt>
                <c:pt idx="3">
                  <c:v>140346</c:v>
                </c:pt>
                <c:pt idx="4">
                  <c:v>96681</c:v>
                </c:pt>
                <c:pt idx="5">
                  <c:v>250224</c:v>
                </c:pt>
                <c:pt idx="6">
                  <c:v>272428</c:v>
                </c:pt>
                <c:pt idx="7">
                  <c:v>264633</c:v>
                </c:pt>
                <c:pt idx="8">
                  <c:v>252163</c:v>
                </c:pt>
                <c:pt idx="9">
                  <c:v>234964</c:v>
                </c:pt>
                <c:pt idx="10">
                  <c:v>227194</c:v>
                </c:pt>
                <c:pt idx="11">
                  <c:v>224100</c:v>
                </c:pt>
                <c:pt idx="12">
                  <c:v>232379</c:v>
                </c:pt>
                <c:pt idx="13">
                  <c:v>235365</c:v>
                </c:pt>
                <c:pt idx="14">
                  <c:v>191608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A7-4FD3-863C-CF5EBDA04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entr evol anual TF cat'!$D$7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entr evol anual TF cat'!$B$8:$B$22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cat'!$D$8:$D$22</c:f>
              <c:numCache>
                <c:formatCode>0.0%</c:formatCode>
                <c:ptCount val="15"/>
                <c:pt idx="0">
                  <c:v>3.3080396562739978E-2</c:v>
                </c:pt>
                <c:pt idx="1">
                  <c:v>8.3530066078866927E-2</c:v>
                </c:pt>
                <c:pt idx="2">
                  <c:v>0.83202228777450027</c:v>
                </c:pt>
                <c:pt idx="3">
                  <c:v>0.45163992925186958</c:v>
                </c:pt>
                <c:pt idx="4">
                  <c:v>-0.61362219451371569</c:v>
                </c:pt>
                <c:pt idx="5">
                  <c:v>-8.1504103836609998E-2</c:v>
                </c:pt>
                <c:pt idx="6">
                  <c:v>2.9455887965597727E-2</c:v>
                </c:pt>
                <c:pt idx="7">
                  <c:v>4.9452140083993346E-2</c:v>
                </c:pt>
                <c:pt idx="8">
                  <c:v>7.3198447421732649E-2</c:v>
                </c:pt>
                <c:pt idx="9">
                  <c:v>3.4199846826940883E-2</c:v>
                </c:pt>
                <c:pt idx="10">
                  <c:v>1.3806336456938961E-2</c:v>
                </c:pt>
                <c:pt idx="11">
                  <c:v>-3.5627143588706334E-2</c:v>
                </c:pt>
                <c:pt idx="12">
                  <c:v>-1.2686678138210894E-2</c:v>
                </c:pt>
                <c:pt idx="13">
                  <c:v>0.22836729155358859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A7-4FD3-863C-CF5EBDA04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589-456E-BE4B-C292E6652668}"/>
              </c:ext>
            </c:extLst>
          </c:dPt>
          <c:val>
            <c:numRef>
              <c:f>'Viajeros entr evol mensu TF'!$I$31:$I$43</c:f>
              <c:numCache>
                <c:formatCode>#,##0</c:formatCode>
                <c:ptCount val="13"/>
                <c:pt idx="0">
                  <c:v>1649</c:v>
                </c:pt>
                <c:pt idx="1">
                  <c:v>1146</c:v>
                </c:pt>
                <c:pt idx="2">
                  <c:v>1783</c:v>
                </c:pt>
                <c:pt idx="3">
                  <c:v>3984</c:v>
                </c:pt>
                <c:pt idx="4">
                  <c:v>2472</c:v>
                </c:pt>
                <c:pt idx="5">
                  <c:v>3499</c:v>
                </c:pt>
                <c:pt idx="6">
                  <c:v>4301</c:v>
                </c:pt>
                <c:pt idx="7">
                  <c:v>4258</c:v>
                </c:pt>
                <c:pt idx="8">
                  <c:v>3382</c:v>
                </c:pt>
                <c:pt idx="9">
                  <c:v>2377</c:v>
                </c:pt>
                <c:pt idx="10">
                  <c:v>1284</c:v>
                </c:pt>
                <c:pt idx="11">
                  <c:v>1883</c:v>
                </c:pt>
                <c:pt idx="12">
                  <c:v>32018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89-456E-BE4B-C292E6652668}"/>
            </c:ext>
          </c:extLst>
        </c:ser>
        <c:ser>
          <c:idx val="0"/>
          <c:order val="2"/>
          <c:tx>
            <c:strRef>
              <c:f>'Viajeros entr evol mensu TF'!$K$29:$L$29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589-456E-BE4B-C292E6652668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TF'!$K$31:$K$43</c:f>
              <c:numCache>
                <c:formatCode>#,##0</c:formatCode>
                <c:ptCount val="13"/>
                <c:pt idx="0">
                  <c:v>1032</c:v>
                </c:pt>
                <c:pt idx="1">
                  <c:v>1343</c:v>
                </c:pt>
                <c:pt idx="2">
                  <c:v>2340</c:v>
                </c:pt>
                <c:pt idx="3">
                  <c:v>1383</c:v>
                </c:pt>
                <c:pt idx="4">
                  <c:v>2206</c:v>
                </c:pt>
                <c:pt idx="5">
                  <c:v>2734</c:v>
                </c:pt>
                <c:pt idx="6">
                  <c:v>4112</c:v>
                </c:pt>
                <c:pt idx="7">
                  <c:v>5008</c:v>
                </c:pt>
                <c:pt idx="8">
                  <c:v>2838</c:v>
                </c:pt>
                <c:pt idx="9">
                  <c:v>3489</c:v>
                </c:pt>
                <c:pt idx="10">
                  <c:v>1304</c:v>
                </c:pt>
                <c:pt idx="11">
                  <c:v>1399</c:v>
                </c:pt>
                <c:pt idx="12">
                  <c:v>29188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589-456E-BE4B-C292E6652668}"/>
            </c:ext>
          </c:extLst>
        </c:ser>
        <c:ser>
          <c:idx val="1"/>
          <c:order val="3"/>
          <c:tx>
            <c:strRef>
              <c:f>'Viajeros entr evol mensu TF'!$M$29:$N$29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589-456E-BE4B-C292E665266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6589-456E-BE4B-C292E6652668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TF'!$M$31:$M$43</c:f>
              <c:numCache>
                <c:formatCode>#,##0</c:formatCode>
                <c:ptCount val="13"/>
                <c:pt idx="0">
                  <c:v>851</c:v>
                </c:pt>
                <c:pt idx="1">
                  <c:v>670</c:v>
                </c:pt>
                <c:pt idx="2">
                  <c:v>929</c:v>
                </c:pt>
                <c:pt idx="3">
                  <c:v>2250</c:v>
                </c:pt>
                <c:pt idx="4">
                  <c:v>1847</c:v>
                </c:pt>
                <c:pt idx="5">
                  <c:v>2922</c:v>
                </c:pt>
                <c:pt idx="6">
                  <c:v>6200</c:v>
                </c:pt>
                <c:pt idx="7">
                  <c:v>5409</c:v>
                </c:pt>
                <c:pt idx="8">
                  <c:v>5461</c:v>
                </c:pt>
                <c:pt idx="12">
                  <c:v>26539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589-456E-BE4B-C292E6652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6589-456E-BE4B-C292E665266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827</c:v>
                      </c:pt>
                      <c:pt idx="1">
                        <c:v>1316</c:v>
                      </c:pt>
                      <c:pt idx="2">
                        <c:v>486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8045</c:v>
                      </c:pt>
                      <c:pt idx="8">
                        <c:v>3978</c:v>
                      </c:pt>
                      <c:pt idx="9">
                        <c:v>3756</c:v>
                      </c:pt>
                      <c:pt idx="10">
                        <c:v>1562</c:v>
                      </c:pt>
                      <c:pt idx="11">
                        <c:v>1855</c:v>
                      </c:pt>
                      <c:pt idx="12">
                        <c:v>26839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6589-456E-BE4B-C292E665266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589-456E-BE4B-C292E665266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589-456E-BE4B-C292E665266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589-456E-BE4B-C292E665266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589-456E-BE4B-C292E665266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589-456E-BE4B-C292E665266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589-456E-BE4B-C292E665266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589-456E-BE4B-C292E665266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589-456E-BE4B-C292E665266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589-456E-BE4B-C292E665266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6589-456E-BE4B-C292E665266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6589-456E-BE4B-C292E665266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6589-456E-BE4B-C292E665266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6589-456E-BE4B-C292E6652668}"/>
              </c:ext>
            </c:extLst>
          </c:dPt>
          <c:cat>
            <c:strRef>
              <c:f>'Viajeros entr evol mensu TF'!$B$31:$B$42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TF'!$N$31:$N$43</c:f>
              <c:numCache>
                <c:formatCode>0.0%</c:formatCode>
                <c:ptCount val="13"/>
                <c:pt idx="0">
                  <c:v>-0.17538759689922478</c:v>
                </c:pt>
                <c:pt idx="1">
                  <c:v>-0.50111690245718543</c:v>
                </c:pt>
                <c:pt idx="2">
                  <c:v>-0.60299145299145307</c:v>
                </c:pt>
                <c:pt idx="3">
                  <c:v>0.6268980477223427</c:v>
                </c:pt>
                <c:pt idx="4">
                  <c:v>-0.16273798730734357</c:v>
                </c:pt>
                <c:pt idx="5">
                  <c:v>6.8763716166788669E-2</c:v>
                </c:pt>
                <c:pt idx="6">
                  <c:v>0.50778210116731515</c:v>
                </c:pt>
                <c:pt idx="7">
                  <c:v>8.0071884984025621E-2</c:v>
                </c:pt>
                <c:pt idx="8">
                  <c:v>0.92424242424242431</c:v>
                </c:pt>
                <c:pt idx="12">
                  <c:v>0.15407027309097243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589-456E-BE4B-C292E6652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entr evol anual TF cat'!$B$31:$B$45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cat'!$C$31:$C$45</c:f>
              <c:numCache>
                <c:formatCode>#,##0</c:formatCode>
                <c:ptCount val="15"/>
                <c:pt idx="0">
                  <c:v>235930</c:v>
                </c:pt>
                <c:pt idx="1">
                  <c:v>229046</c:v>
                </c:pt>
                <c:pt idx="2">
                  <c:v>211298</c:v>
                </c:pt>
                <c:pt idx="3">
                  <c:v>116590</c:v>
                </c:pt>
                <c:pt idx="4">
                  <c:v>77095</c:v>
                </c:pt>
                <c:pt idx="5">
                  <c:v>179597</c:v>
                </c:pt>
                <c:pt idx="6">
                  <c:v>174825</c:v>
                </c:pt>
                <c:pt idx="7">
                  <c:v>170572</c:v>
                </c:pt>
                <c:pt idx="8">
                  <c:v>169148</c:v>
                </c:pt>
                <c:pt idx="9">
                  <c:v>168456</c:v>
                </c:pt>
                <c:pt idx="10">
                  <c:v>166846</c:v>
                </c:pt>
                <c:pt idx="11">
                  <c:v>162205</c:v>
                </c:pt>
                <c:pt idx="12">
                  <c:v>162021</c:v>
                </c:pt>
                <c:pt idx="13">
                  <c:v>154116</c:v>
                </c:pt>
                <c:pt idx="14">
                  <c:v>130978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5D-4208-9EE4-D52937B74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entr evol anual TF cat'!$D$30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entr evol anual TF cat'!$B$31:$B$45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cat'!$D$31:$D$45</c:f>
              <c:numCache>
                <c:formatCode>0.0%</c:formatCode>
                <c:ptCount val="15"/>
                <c:pt idx="0">
                  <c:v>3.0055098102564459E-2</c:v>
                </c:pt>
                <c:pt idx="1">
                  <c:v>8.3995115902658846E-2</c:v>
                </c:pt>
                <c:pt idx="2">
                  <c:v>0.81231666523715584</c:v>
                </c:pt>
                <c:pt idx="3">
                  <c:v>0.51229003177897403</c:v>
                </c:pt>
                <c:pt idx="4">
                  <c:v>-0.57073336414305365</c:v>
                </c:pt>
                <c:pt idx="5">
                  <c:v>2.7295867295867193E-2</c:v>
                </c:pt>
                <c:pt idx="6">
                  <c:v>2.4933752315737578E-2</c:v>
                </c:pt>
                <c:pt idx="7">
                  <c:v>8.4186629460589746E-3</c:v>
                </c:pt>
                <c:pt idx="8">
                  <c:v>4.1078976112456367E-3</c:v>
                </c:pt>
                <c:pt idx="9">
                  <c:v>9.6496170120949909E-3</c:v>
                </c:pt>
                <c:pt idx="10">
                  <c:v>2.8611941678739816E-2</c:v>
                </c:pt>
                <c:pt idx="11">
                  <c:v>1.1356552545658261E-3</c:v>
                </c:pt>
                <c:pt idx="12">
                  <c:v>5.1292532897298182E-2</c:v>
                </c:pt>
                <c:pt idx="13">
                  <c:v>0.176655621554765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5D-4208-9EE4-D52937B74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entr evol anual TF cat'!$B$54:$B$68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cat'!$C$54:$C$68</c:f>
              <c:numCache>
                <c:formatCode>#,##0</c:formatCode>
                <c:ptCount val="15"/>
                <c:pt idx="0">
                  <c:v>183335</c:v>
                </c:pt>
                <c:pt idx="1">
                  <c:v>180038</c:v>
                </c:pt>
                <c:pt idx="2">
                  <c:v>163913</c:v>
                </c:pt>
                <c:pt idx="3">
                  <c:v>87353</c:v>
                </c:pt>
                <c:pt idx="4">
                  <c:v>0</c:v>
                </c:pt>
                <c:pt idx="5">
                  <c:v>149743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4D-403F-91B7-857F55635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entr evol anual TF cat'!$D$53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entr evol anual TF cat'!$B$54:$B$68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cat'!$D$54:$D$68</c:f>
              <c:numCache>
                <c:formatCode>0.0%</c:formatCode>
                <c:ptCount val="15"/>
                <c:pt idx="0">
                  <c:v>1.8312800630977843E-2</c:v>
                </c:pt>
                <c:pt idx="1">
                  <c:v>9.8375357659246099E-2</c:v>
                </c:pt>
                <c:pt idx="2">
                  <c:v>0.8764438542465629</c:v>
                </c:pt>
                <c:pt idx="3">
                  <c:v>0</c:v>
                </c:pt>
                <c:pt idx="4">
                  <c:v>-1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4D-403F-91B7-857F55635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372732290890549E-2"/>
          <c:y val="0.28154949862036477"/>
          <c:w val="0.95795330741250462"/>
          <c:h val="0.3969467662696008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 años '!$T$6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2CA-44FC-84E9-0229143618BB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2CA-44FC-84E9-0229143618BB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2CA-44FC-84E9-0229143618BB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2CA-44FC-84E9-0229143618BB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C2CA-44FC-84E9-0229143618BB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C2CA-44FC-84E9-0229143618BB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C2CA-44FC-84E9-0229143618BB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C2CA-44FC-84E9-0229143618B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 años '!$N$8:$N$9,'viaj entrados lugar resid años 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 años '!$T$8:$T$9,'viaj entrados lugar resid años '!$T$12:$T$20)</c:f>
              <c:numCache>
                <c:formatCode>#,##0</c:formatCode>
                <c:ptCount val="11"/>
                <c:pt idx="0">
                  <c:v>287810</c:v>
                </c:pt>
                <c:pt idx="1">
                  <c:v>29188</c:v>
                </c:pt>
                <c:pt idx="2">
                  <c:v>258622</c:v>
                </c:pt>
                <c:pt idx="3">
                  <c:v>116159</c:v>
                </c:pt>
                <c:pt idx="4">
                  <c:v>21459</c:v>
                </c:pt>
                <c:pt idx="5">
                  <c:v>24579</c:v>
                </c:pt>
                <c:pt idx="6">
                  <c:v>6534</c:v>
                </c:pt>
                <c:pt idx="7">
                  <c:v>5563</c:v>
                </c:pt>
                <c:pt idx="8">
                  <c:v>3402</c:v>
                </c:pt>
                <c:pt idx="9">
                  <c:v>2731</c:v>
                </c:pt>
                <c:pt idx="10">
                  <c:v>78195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2CA-44FC-84E9-0229143618BB}"/>
            </c:ext>
          </c:extLst>
        </c:ser>
        <c:ser>
          <c:idx val="1"/>
          <c:order val="1"/>
          <c:tx>
            <c:strRef>
              <c:f>'viaj entrados lugar resid años '!$U$6</c:f>
              <c:strCache>
                <c:ptCount val="1"/>
                <c:pt idx="0">
                  <c:v>var. 24/23</c:v>
                </c:pt>
              </c:strCache>
            </c:strRef>
          </c:tx>
          <c:invertIfNegative val="0"/>
          <c:cat>
            <c:strRef>
              <c:f>('viaj entrados lugar resid años '!$N$8:$N$9,'viaj entrados lugar resid años 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 años '!$U$8:$U$9,'viaj entrados lugar resid años '!$U$12:$U$20)</c:f>
              <c:numCache>
                <c:formatCode>0.0%</c:formatCode>
                <c:ptCount val="11"/>
                <c:pt idx="0">
                  <c:v>3.3080396562739978E-2</c:v>
                </c:pt>
                <c:pt idx="1">
                  <c:v>-8.838778187269658E-2</c:v>
                </c:pt>
                <c:pt idx="2">
                  <c:v>4.8853091947310467E-2</c:v>
                </c:pt>
                <c:pt idx="3">
                  <c:v>9.7599924407067995E-2</c:v>
                </c:pt>
                <c:pt idx="4">
                  <c:v>3.2427231176329174E-2</c:v>
                </c:pt>
                <c:pt idx="5">
                  <c:v>-2.0327633624297459E-2</c:v>
                </c:pt>
                <c:pt idx="6">
                  <c:v>-0.26402342870015771</c:v>
                </c:pt>
                <c:pt idx="7">
                  <c:v>1.3296903460837894E-2</c:v>
                </c:pt>
                <c:pt idx="8">
                  <c:v>-7.8298564074776533E-2</c:v>
                </c:pt>
                <c:pt idx="9">
                  <c:v>-5.3379549393414161E-2</c:v>
                </c:pt>
                <c:pt idx="10">
                  <c:v>5.7718320528081346E-2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2CA-44FC-84E9-0229143618BB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2CA-44FC-84E9-0229143618BB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C2CA-44FC-84E9-0229143618BB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C2CA-44FC-84E9-0229143618BB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C2CA-44FC-84E9-0229143618BB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C2CA-44FC-84E9-0229143618BB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C2CA-44FC-84E9-0229143618BB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C2CA-44FC-84E9-0229143618BB}"/>
              </c:ext>
            </c:extLst>
          </c:dPt>
          <c:cat>
            <c:strRef>
              <c:f>('viaj entrados lugar resid años '!$N$8:$N$9,'viaj entrados lugar resid años 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 años '!$W$8:$W$9,'viaj entrados lugar resid años '!$W$12:$W$20)</c:f>
              <c:numCache>
                <c:formatCode>0.0%</c:formatCode>
                <c:ptCount val="11"/>
                <c:pt idx="0">
                  <c:v>1</c:v>
                </c:pt>
                <c:pt idx="1">
                  <c:v>0.10141412737569924</c:v>
                </c:pt>
                <c:pt idx="2">
                  <c:v>0.89858587262430079</c:v>
                </c:pt>
                <c:pt idx="3">
                  <c:v>0.40359612244188875</c:v>
                </c:pt>
                <c:pt idx="4">
                  <c:v>7.4559605295159995E-2</c:v>
                </c:pt>
                <c:pt idx="5">
                  <c:v>8.5400090337375348E-2</c:v>
                </c:pt>
                <c:pt idx="6">
                  <c:v>2.27024773287933E-2</c:v>
                </c:pt>
                <c:pt idx="7">
                  <c:v>1.9328723810847433E-2</c:v>
                </c:pt>
                <c:pt idx="8">
                  <c:v>1.1820298113338661E-2</c:v>
                </c:pt>
                <c:pt idx="9">
                  <c:v>9.4888989263750383E-3</c:v>
                </c:pt>
                <c:pt idx="10">
                  <c:v>0.27168965637052223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C2CA-44FC-84E9-022914361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958193173347365"/>
          <c:y val="0.18932313911888835"/>
          <c:w val="0.95795330741250462"/>
          <c:h val="0.4292076272420834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residencia'!$R$9</c:f>
              <c:strCache>
                <c:ptCount val="1"/>
                <c:pt idx="0">
                  <c:v>septiembre 2024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B67-42B5-96CE-01A107FDD1F9}"/>
              </c:ext>
            </c:extLst>
          </c:dPt>
          <c:dPt>
            <c:idx val="4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B67-42B5-96CE-01A107FDD1F9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5B67-42B5-96CE-01A107FDD1F9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5B67-42B5-96CE-01A107FDD1F9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5B67-42B5-96CE-01A107FDD1F9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5B67-42B5-96CE-01A107FDD1F9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5B67-42B5-96CE-01A107FDD1F9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5B67-42B5-96CE-01A107FDD1F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'viaj entrados lugar residencia'!$M$11:$M$23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entrados lugar residencia'!$R$11:$R$23</c:f>
              <c:numCache>
                <c:formatCode>#,##0</c:formatCode>
                <c:ptCount val="13"/>
                <c:pt idx="0">
                  <c:v>21182</c:v>
                </c:pt>
                <c:pt idx="1">
                  <c:v>2838</c:v>
                </c:pt>
                <c:pt idx="2">
                  <c:v>1691</c:v>
                </c:pt>
                <c:pt idx="3">
                  <c:v>1147</c:v>
                </c:pt>
                <c:pt idx="4">
                  <c:v>18344</c:v>
                </c:pt>
                <c:pt idx="5">
                  <c:v>9243</c:v>
                </c:pt>
                <c:pt idx="6">
                  <c:v>1114</c:v>
                </c:pt>
                <c:pt idx="7">
                  <c:v>1668</c:v>
                </c:pt>
                <c:pt idx="8">
                  <c:v>446</c:v>
                </c:pt>
                <c:pt idx="9">
                  <c:v>217</c:v>
                </c:pt>
                <c:pt idx="10">
                  <c:v>10</c:v>
                </c:pt>
                <c:pt idx="11">
                  <c:v>12</c:v>
                </c:pt>
                <c:pt idx="12">
                  <c:v>5634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B67-42B5-96CE-01A107FDD1F9}"/>
            </c:ext>
          </c:extLst>
        </c:ser>
        <c:ser>
          <c:idx val="1"/>
          <c:order val="1"/>
          <c:tx>
            <c:strRef>
              <c:f>'viaj entrados lugar residencia'!$S$9</c:f>
              <c:strCache>
                <c:ptCount val="1"/>
                <c:pt idx="0">
                  <c:v>septiembre 2025</c:v>
                </c:pt>
              </c:strCache>
            </c:strRef>
          </c:tx>
          <c:invertIfNegative val="0"/>
          <c:cat>
            <c:strRef>
              <c:f>'viaj entrados lugar residencia'!$M$11:$M$23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entrados lugar residencia'!$S$11:$S$23</c:f>
              <c:numCache>
                <c:formatCode>0.0%</c:formatCode>
                <c:ptCount val="13"/>
                <c:pt idx="0">
                  <c:v>-4.1798606713109532E-2</c:v>
                </c:pt>
                <c:pt idx="1">
                  <c:v>-0.16085156712004733</c:v>
                </c:pt>
                <c:pt idx="2">
                  <c:v>-0.28195329087048837</c:v>
                </c:pt>
                <c:pt idx="3">
                  <c:v>0.11684518013631928</c:v>
                </c:pt>
                <c:pt idx="4">
                  <c:v>-2.0294808801538111E-2</c:v>
                </c:pt>
                <c:pt idx="5">
                  <c:v>-4.4161999138302432E-3</c:v>
                </c:pt>
                <c:pt idx="6">
                  <c:v>-0.23959044368600679</c:v>
                </c:pt>
                <c:pt idx="7">
                  <c:v>-0.18989800874210783</c:v>
                </c:pt>
                <c:pt idx="8">
                  <c:v>-0.4459627329192547</c:v>
                </c:pt>
                <c:pt idx="9">
                  <c:v>-0.35988200589970498</c:v>
                </c:pt>
                <c:pt idx="10">
                  <c:v>-0.16666666666666663</c:v>
                </c:pt>
                <c:pt idx="11">
                  <c:v>9.0909090909090828E-2</c:v>
                </c:pt>
                <c:pt idx="12">
                  <c:v>0.18635502210991794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B67-42B5-96CE-01A107FDD1F9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B67-42B5-96CE-01A107FDD1F9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5B67-42B5-96CE-01A107FDD1F9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5B67-42B5-96CE-01A107FDD1F9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5B67-42B5-96CE-01A107FDD1F9}"/>
              </c:ext>
            </c:extLst>
          </c:dPt>
          <c:dPt>
            <c:idx val="8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5B67-42B5-96CE-01A107FDD1F9}"/>
              </c:ext>
            </c:extLst>
          </c:dPt>
          <c:dPt>
            <c:idx val="9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5B67-42B5-96CE-01A107FDD1F9}"/>
              </c:ext>
            </c:extLst>
          </c:dPt>
          <c:dPt>
            <c:idx val="12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5B67-42B5-96CE-01A107FDD1F9}"/>
              </c:ext>
            </c:extLst>
          </c:dPt>
          <c:cat>
            <c:strRef>
              <c:f>'viaj entrados lugar residencia'!$M$11:$M$23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entrados lugar residencia'!$T$11:$T$23</c:f>
              <c:numCache>
                <c:formatCode>0.0%</c:formatCode>
                <c:ptCount val="13"/>
                <c:pt idx="0">
                  <c:v>1</c:v>
                </c:pt>
                <c:pt idx="1">
                  <c:v>0.13398168256066473</c:v>
                </c:pt>
                <c:pt idx="2">
                  <c:v>7.9831932773109238E-2</c:v>
                </c:pt>
                <c:pt idx="3">
                  <c:v>5.4149749787555469E-2</c:v>
                </c:pt>
                <c:pt idx="4">
                  <c:v>0.86601831743933533</c:v>
                </c:pt>
                <c:pt idx="5">
                  <c:v>0.43636106127844398</c:v>
                </c:pt>
                <c:pt idx="6">
                  <c:v>5.2591823246152393E-2</c:v>
                </c:pt>
                <c:pt idx="7">
                  <c:v>7.8746105183646498E-2</c:v>
                </c:pt>
                <c:pt idx="8">
                  <c:v>2.1055613256538569E-2</c:v>
                </c:pt>
                <c:pt idx="9">
                  <c:v>1.0244547257105089E-2</c:v>
                </c:pt>
                <c:pt idx="10">
                  <c:v>4.720989519403267E-4</c:v>
                </c:pt>
                <c:pt idx="11">
                  <c:v>5.6651874232839202E-4</c:v>
                </c:pt>
                <c:pt idx="12">
                  <c:v>0.26598054952318007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5B67-42B5-96CE-01A107FDD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442828298014062"/>
          <c:y val="0.21825749224955904"/>
          <c:w val="0.95795330741250462"/>
          <c:h val="0.3801301153145330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 acu'!$V$7</c:f>
              <c:strCache>
                <c:ptCount val="1"/>
                <c:pt idx="0">
                  <c:v>acumulado septiembre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1B6-4F3E-AB91-1FFBBD0CD9CA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1B6-4F3E-AB91-1FFBBD0CD9CA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D1B6-4F3E-AB91-1FFBBD0CD9CA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1B6-4F3E-AB91-1FFBBD0CD9CA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1B6-4F3E-AB91-1FFBBD0CD9CA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D1B6-4F3E-AB91-1FFBBD0CD9CA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D1B6-4F3E-AB91-1FFBBD0CD9CA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D1B6-4F3E-AB91-1FFBBD0CD9C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residen acu'!$P$9:$P$10,'viaj entrados lugar residen acu'!$P$13:$P$21)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acu'!$V$9:$V$10,'viaj entrados lugar residen acu'!$V$13:$V$21)</c:f>
              <c:numCache>
                <c:formatCode>#,##0</c:formatCode>
                <c:ptCount val="11"/>
                <c:pt idx="0">
                  <c:v>213733</c:v>
                </c:pt>
                <c:pt idx="1">
                  <c:v>26539</c:v>
                </c:pt>
                <c:pt idx="2">
                  <c:v>187194</c:v>
                </c:pt>
                <c:pt idx="3">
                  <c:v>87998</c:v>
                </c:pt>
                <c:pt idx="4">
                  <c:v>14913</c:v>
                </c:pt>
                <c:pt idx="5">
                  <c:v>17301</c:v>
                </c:pt>
                <c:pt idx="6">
                  <c:v>4410</c:v>
                </c:pt>
                <c:pt idx="7">
                  <c:v>3200</c:v>
                </c:pt>
                <c:pt idx="8">
                  <c:v>2333</c:v>
                </c:pt>
                <c:pt idx="9">
                  <c:v>1133</c:v>
                </c:pt>
                <c:pt idx="10">
                  <c:v>55906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1B6-4F3E-AB91-1FFBBD0CD9CA}"/>
            </c:ext>
          </c:extLst>
        </c:ser>
        <c:ser>
          <c:idx val="1"/>
          <c:order val="1"/>
          <c:tx>
            <c:strRef>
              <c:f>'viaj entrados lugar residen acu'!$W$7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entrados lugar residen acu'!$P$9:$P$10,'viaj entrados lugar residen acu'!$P$13:$P$21)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acu'!$W$9:$W$10,'viaj entrados lugar residen acu'!$W$13:$W$21)</c:f>
              <c:numCache>
                <c:formatCode>0.0%</c:formatCode>
                <c:ptCount val="11"/>
                <c:pt idx="0">
                  <c:v>-3.8818423317243944E-4</c:v>
                </c:pt>
                <c:pt idx="1">
                  <c:v>0.15407027309097243</c:v>
                </c:pt>
                <c:pt idx="2">
                  <c:v>-1.9002201027146004E-2</c:v>
                </c:pt>
                <c:pt idx="3">
                  <c:v>1.8648639262851985E-2</c:v>
                </c:pt>
                <c:pt idx="4">
                  <c:v>-2.1135543157203784E-2</c:v>
                </c:pt>
                <c:pt idx="5">
                  <c:v>-9.0808765568343053E-2</c:v>
                </c:pt>
                <c:pt idx="6">
                  <c:v>-6.7653276955602526E-2</c:v>
                </c:pt>
                <c:pt idx="7">
                  <c:v>-0.25442684063373722</c:v>
                </c:pt>
                <c:pt idx="8">
                  <c:v>0.1458742632612966</c:v>
                </c:pt>
                <c:pt idx="9">
                  <c:v>-0.24416277518345564</c:v>
                </c:pt>
                <c:pt idx="10">
                  <c:v>-2.9611886412552968E-2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1B6-4F3E-AB91-1FFBBD0CD9CA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1B6-4F3E-AB91-1FFBBD0CD9CA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D1B6-4F3E-AB91-1FFBBD0CD9CA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D1B6-4F3E-AB91-1FFBBD0CD9CA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D1B6-4F3E-AB91-1FFBBD0CD9CA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D1B6-4F3E-AB91-1FFBBD0CD9CA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D1B6-4F3E-AB91-1FFBBD0CD9CA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D1B6-4F3E-AB91-1FFBBD0CD9CA}"/>
              </c:ext>
            </c:extLst>
          </c:dPt>
          <c:cat>
            <c:strRef>
              <c:f>('viaj entrados lugar residen acu'!$P$9:$P$10,'viaj entrados lugar residen acu'!$P$13:$P$21)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acu'!$Y$9:$Y$10,'viaj entrados lugar residen acu'!$Y$13:$Y$21)</c:f>
              <c:numCache>
                <c:formatCode>0.0%</c:formatCode>
                <c:ptCount val="11"/>
                <c:pt idx="0">
                  <c:v>1</c:v>
                </c:pt>
                <c:pt idx="1">
                  <c:v>0.12416893975193349</c:v>
                </c:pt>
                <c:pt idx="2">
                  <c:v>0.87583106024806656</c:v>
                </c:pt>
                <c:pt idx="3">
                  <c:v>0.41171929463395918</c:v>
                </c:pt>
                <c:pt idx="4">
                  <c:v>6.9773970327464643E-2</c:v>
                </c:pt>
                <c:pt idx="5">
                  <c:v>8.0946788750450333E-2</c:v>
                </c:pt>
                <c:pt idx="6">
                  <c:v>2.0633219951996181E-2</c:v>
                </c:pt>
                <c:pt idx="7">
                  <c:v>1.4971950985575461E-2</c:v>
                </c:pt>
                <c:pt idx="8">
                  <c:v>1.091548801542111E-2</c:v>
                </c:pt>
                <c:pt idx="9">
                  <c:v>5.3010063958303117E-3</c:v>
                </c:pt>
                <c:pt idx="10">
                  <c:v>0.2615693411873693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D1B6-4F3E-AB91-1FFBBD0CD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442828298014062"/>
          <c:y val="0.20632289384879521"/>
          <c:w val="0.95795330741250462"/>
          <c:h val="0.3849039546748385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 hot'!$T$7</c:f>
              <c:strCache>
                <c:ptCount val="1"/>
                <c:pt idx="0">
                  <c:v>acumulado septiembre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1BA-4A33-B4F4-44573A7D2A73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1BA-4A33-B4F4-44573A7D2A7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E1BA-4A33-B4F4-44573A7D2A7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1BA-4A33-B4F4-44573A7D2A73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E1BA-4A33-B4F4-44573A7D2A73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E1BA-4A33-B4F4-44573A7D2A73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E1BA-4A33-B4F4-44573A7D2A73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E1BA-4A33-B4F4-44573A7D2A7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residen hot'!$N$9:$N$10,'viaj entrados lugar residen hot'!$N$13:$N$21)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hot'!$T$9:$T$10,'viaj entrados lugar residen hot'!$T$13:$T$21)</c:f>
              <c:numCache>
                <c:formatCode>#,##0</c:formatCode>
                <c:ptCount val="11"/>
                <c:pt idx="0">
                  <c:v>173044</c:v>
                </c:pt>
                <c:pt idx="1">
                  <c:v>18906</c:v>
                </c:pt>
                <c:pt idx="2">
                  <c:v>154138</c:v>
                </c:pt>
                <c:pt idx="3">
                  <c:v>72439</c:v>
                </c:pt>
                <c:pt idx="4">
                  <c:v>12998</c:v>
                </c:pt>
                <c:pt idx="5">
                  <c:v>14171</c:v>
                </c:pt>
                <c:pt idx="6">
                  <c:v>3323</c:v>
                </c:pt>
                <c:pt idx="7">
                  <c:v>2601</c:v>
                </c:pt>
                <c:pt idx="8">
                  <c:v>2040</c:v>
                </c:pt>
                <c:pt idx="9">
                  <c:v>829</c:v>
                </c:pt>
                <c:pt idx="10">
                  <c:v>45737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1BA-4A33-B4F4-44573A7D2A73}"/>
            </c:ext>
          </c:extLst>
        </c:ser>
        <c:ser>
          <c:idx val="1"/>
          <c:order val="1"/>
          <c:tx>
            <c:strRef>
              <c:f>'viaj entrados lugar residen hot'!$U$7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entrados lugar residen hot'!$N$9:$N$10,'viaj entrados lugar residen hot'!$N$13:$N$21)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hot'!$U$9:$U$10,'viaj entrados lugar residen hot'!$U$13:$U$21)</c:f>
              <c:numCache>
                <c:formatCode>0.0%</c:formatCode>
                <c:ptCount val="11"/>
                <c:pt idx="0">
                  <c:v>-1.853532374427147E-2</c:v>
                </c:pt>
                <c:pt idx="1">
                  <c:v>0.14979018427294299</c:v>
                </c:pt>
                <c:pt idx="2">
                  <c:v>-3.5848100632392743E-2</c:v>
                </c:pt>
                <c:pt idx="3">
                  <c:v>-4.726378412541421E-3</c:v>
                </c:pt>
                <c:pt idx="4">
                  <c:v>-2.7314225847489326E-2</c:v>
                </c:pt>
                <c:pt idx="5">
                  <c:v>-0.12046921549155909</c:v>
                </c:pt>
                <c:pt idx="6">
                  <c:v>-0.12667542706964519</c:v>
                </c:pt>
                <c:pt idx="7">
                  <c:v>-0.30732356857523302</c:v>
                </c:pt>
                <c:pt idx="8">
                  <c:v>0.10749185667752448</c:v>
                </c:pt>
                <c:pt idx="9">
                  <c:v>-0.29145299145299142</c:v>
                </c:pt>
                <c:pt idx="10">
                  <c:v>-2.7679159846085155E-2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1BA-4A33-B4F4-44573A7D2A73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1BA-4A33-B4F4-44573A7D2A73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1BA-4A33-B4F4-44573A7D2A73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1BA-4A33-B4F4-44573A7D2A73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1BA-4A33-B4F4-44573A7D2A73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1BA-4A33-B4F4-44573A7D2A73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1BA-4A33-B4F4-44573A7D2A73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E1BA-4A33-B4F4-44573A7D2A73}"/>
              </c:ext>
            </c:extLst>
          </c:dPt>
          <c:cat>
            <c:strRef>
              <c:f>('viaj entrados lugar residen hot'!$N$9:$N$10,'viaj entrados lugar residen hot'!$N$13:$N$21)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hot'!$W$9:$W$10,'viaj entrados lugar residen hot'!$W$13:$W$21)</c:f>
              <c:numCache>
                <c:formatCode>0.0%</c:formatCode>
                <c:ptCount val="11"/>
                <c:pt idx="0">
                  <c:v>1</c:v>
                </c:pt>
                <c:pt idx="1">
                  <c:v>0.10925544948105684</c:v>
                </c:pt>
                <c:pt idx="2">
                  <c:v>0.89074455051894319</c:v>
                </c:pt>
                <c:pt idx="3">
                  <c:v>0.41861607452439842</c:v>
                </c:pt>
                <c:pt idx="4">
                  <c:v>7.5113843877857661E-2</c:v>
                </c:pt>
                <c:pt idx="5">
                  <c:v>8.1892466655879431E-2</c:v>
                </c:pt>
                <c:pt idx="6">
                  <c:v>1.9203208432537391E-2</c:v>
                </c:pt>
                <c:pt idx="7">
                  <c:v>1.5030859203439587E-2</c:v>
                </c:pt>
                <c:pt idx="8">
                  <c:v>1.1788909179168304E-2</c:v>
                </c:pt>
                <c:pt idx="9">
                  <c:v>4.7906890732992763E-3</c:v>
                </c:pt>
                <c:pt idx="10">
                  <c:v>0.26430849957236308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1BA-4A33-B4F4-44573A7D2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442828298014062"/>
          <c:y val="0.23973976937093389"/>
          <c:w val="0.95795330741250462"/>
          <c:h val="0.3419394004320888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 apt'!$T$7</c:f>
              <c:strCache>
                <c:ptCount val="1"/>
                <c:pt idx="0">
                  <c:v>acumulado septiembre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A4A-4551-8297-E6F5AA803E61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A4A-4551-8297-E6F5AA803E61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A4A-4551-8297-E6F5AA803E61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2A4A-4551-8297-E6F5AA803E61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A4A-4551-8297-E6F5AA803E61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2A4A-4551-8297-E6F5AA803E61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2A4A-4551-8297-E6F5AA803E61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2A4A-4551-8297-E6F5AA803E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residen apt'!$N$9:$N$10,'viaj entrados lugar residen apt'!$N$13:$N$21)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apt'!$T$9:$T$10,'viaj entrados lugar residen apt'!$T$13:$T$21)</c:f>
              <c:numCache>
                <c:formatCode>#,##0</c:formatCode>
                <c:ptCount val="11"/>
                <c:pt idx="0">
                  <c:v>40689</c:v>
                </c:pt>
                <c:pt idx="1">
                  <c:v>7633</c:v>
                </c:pt>
                <c:pt idx="2">
                  <c:v>33056</c:v>
                </c:pt>
                <c:pt idx="3">
                  <c:v>15559</c:v>
                </c:pt>
                <c:pt idx="4">
                  <c:v>1915</c:v>
                </c:pt>
                <c:pt idx="5">
                  <c:v>3130</c:v>
                </c:pt>
                <c:pt idx="6">
                  <c:v>1087</c:v>
                </c:pt>
                <c:pt idx="7">
                  <c:v>599</c:v>
                </c:pt>
                <c:pt idx="8">
                  <c:v>293</c:v>
                </c:pt>
                <c:pt idx="9">
                  <c:v>304</c:v>
                </c:pt>
                <c:pt idx="10">
                  <c:v>10169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A4A-4551-8297-E6F5AA803E61}"/>
            </c:ext>
          </c:extLst>
        </c:ser>
        <c:ser>
          <c:idx val="1"/>
          <c:order val="1"/>
          <c:tx>
            <c:strRef>
              <c:f>'viaj entrados lugar residen apt'!$U$7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entrados lugar residen apt'!$N$9:$N$10,'viaj entrados lugar residen apt'!$N$13:$N$21)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apt'!$U$9:$U$10,'viaj entrados lugar residen apt'!$U$13:$U$21)</c:f>
              <c:numCache>
                <c:formatCode>0.0%</c:formatCode>
                <c:ptCount val="11"/>
                <c:pt idx="0">
                  <c:v>8.4924274744027306E-2</c:v>
                </c:pt>
                <c:pt idx="1">
                  <c:v>0.16481001068213041</c:v>
                </c:pt>
                <c:pt idx="2">
                  <c:v>6.8010726632419027E-2</c:v>
                </c:pt>
                <c:pt idx="3">
                  <c:v>0.14370773301970008</c:v>
                </c:pt>
                <c:pt idx="4">
                  <c:v>2.2970085470085388E-2</c:v>
                </c:pt>
                <c:pt idx="5">
                  <c:v>7.3020226259856047E-2</c:v>
                </c:pt>
                <c:pt idx="6">
                  <c:v>0.17513513513513512</c:v>
                </c:pt>
                <c:pt idx="7">
                  <c:v>0.11545623836126628</c:v>
                </c:pt>
                <c:pt idx="8">
                  <c:v>0.51030927835051543</c:v>
                </c:pt>
                <c:pt idx="9">
                  <c:v>-7.5987841945288737E-2</c:v>
                </c:pt>
                <c:pt idx="10">
                  <c:v>-3.8210536271635287E-2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A4A-4551-8297-E6F5AA803E61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A4A-4551-8297-E6F5AA803E61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2A4A-4551-8297-E6F5AA803E61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2A4A-4551-8297-E6F5AA803E61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2A4A-4551-8297-E6F5AA803E61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2A4A-4551-8297-E6F5AA803E61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2A4A-4551-8297-E6F5AA803E61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2A4A-4551-8297-E6F5AA803E61}"/>
              </c:ext>
            </c:extLst>
          </c:dPt>
          <c:cat>
            <c:strRef>
              <c:f>('viaj entrados lugar residen apt'!$N$9:$N$10,'viaj entrados lugar residen apt'!$N$13:$N$21)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apt'!$W$9:$W$10,'viaj entrados lugar residen apt'!$W$13:$W$21)</c:f>
              <c:numCache>
                <c:formatCode>0.0%</c:formatCode>
                <c:ptCount val="11"/>
                <c:pt idx="0">
                  <c:v>1</c:v>
                </c:pt>
                <c:pt idx="1">
                  <c:v>0.18759369854260366</c:v>
                </c:pt>
                <c:pt idx="2">
                  <c:v>0.81240630145739634</c:v>
                </c:pt>
                <c:pt idx="3">
                  <c:v>0.38238836049055025</c:v>
                </c:pt>
                <c:pt idx="4">
                  <c:v>4.7064317137309838E-2</c:v>
                </c:pt>
                <c:pt idx="5">
                  <c:v>7.6924967435916342E-2</c:v>
                </c:pt>
                <c:pt idx="6">
                  <c:v>2.6714836933815034E-2</c:v>
                </c:pt>
                <c:pt idx="7">
                  <c:v>1.4721423480547568E-2</c:v>
                </c:pt>
                <c:pt idx="8">
                  <c:v>7.200963405342967E-3</c:v>
                </c:pt>
                <c:pt idx="9">
                  <c:v>7.4713067413797341E-3</c:v>
                </c:pt>
                <c:pt idx="10">
                  <c:v>0.24992012583253459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2A4A-4551-8297-E6F5AA803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958193173347365"/>
          <c:y val="0.16568511642811568"/>
          <c:w val="0.95795330741250462"/>
          <c:h val="0.513800248653128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aloj lugar residen mes'!$P$8</c:f>
              <c:strCache>
                <c:ptCount val="1"/>
                <c:pt idx="0">
                  <c:v>septiembre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2AE-461A-B032-E9CAD405F008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2AE-461A-B032-E9CAD405F008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62AE-461A-B032-E9CAD405F008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62AE-461A-B032-E9CAD405F008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2AE-461A-B032-E9CAD405F008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2AE-461A-B032-E9CAD405F008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62AE-461A-B032-E9CAD405F008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62AE-461A-B032-E9CAD405F00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aloj lugar residen mes'!$K$10,'viaj aloj lugar residen mes'!$K$11,'viaj aloj lugar residen mes'!$K$14:$K$22)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residen mes'!$P$10,'viaj aloj lugar residen mes'!$P$11,'viaj aloj lugar residen mes'!$P$14:$P$22)</c:f>
              <c:numCache>
                <c:formatCode>#,##0</c:formatCode>
                <c:ptCount val="11"/>
                <c:pt idx="0">
                  <c:v>28817</c:v>
                </c:pt>
                <c:pt idx="1">
                  <c:v>6104</c:v>
                </c:pt>
                <c:pt idx="2">
                  <c:v>22713</c:v>
                </c:pt>
                <c:pt idx="3">
                  <c:v>11676</c:v>
                </c:pt>
                <c:pt idx="4">
                  <c:v>1795</c:v>
                </c:pt>
                <c:pt idx="5">
                  <c:v>1941</c:v>
                </c:pt>
                <c:pt idx="6">
                  <c:v>535</c:v>
                </c:pt>
                <c:pt idx="7">
                  <c:v>261</c:v>
                </c:pt>
                <c:pt idx="8">
                  <c:v>22</c:v>
                </c:pt>
                <c:pt idx="9">
                  <c:v>7</c:v>
                </c:pt>
                <c:pt idx="10">
                  <c:v>6476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2AE-461A-B032-E9CAD405F008}"/>
            </c:ext>
          </c:extLst>
        </c:ser>
        <c:ser>
          <c:idx val="1"/>
          <c:order val="1"/>
          <c:tx>
            <c:strRef>
              <c:f>'viaj aloj lugar residen mes'!$Q$8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aloj lugar residen mes'!$K$10,'viaj aloj lugar residen mes'!$K$11,'viaj aloj lugar residen mes'!$K$14:$K$22)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residen mes'!$Q$10,'viaj aloj lugar residen mes'!$Q$11,'viaj aloj lugar residen mes'!$Q$14:$Q$22)</c:f>
              <c:numCache>
                <c:formatCode>0.0%</c:formatCode>
                <c:ptCount val="11"/>
                <c:pt idx="0">
                  <c:v>0.13359033869635351</c:v>
                </c:pt>
                <c:pt idx="1">
                  <c:v>0.90037359900373604</c:v>
                </c:pt>
                <c:pt idx="2">
                  <c:v>2.2693502634067331E-2</c:v>
                </c:pt>
                <c:pt idx="3">
                  <c:v>3.9159843360626612E-2</c:v>
                </c:pt>
                <c:pt idx="4">
                  <c:v>0.22108843537414957</c:v>
                </c:pt>
                <c:pt idx="5">
                  <c:v>2.0650490449147796E-3</c:v>
                </c:pt>
                <c:pt idx="6">
                  <c:v>3.7523452157599557E-3</c:v>
                </c:pt>
                <c:pt idx="7">
                  <c:v>-2.9739776951672847E-2</c:v>
                </c:pt>
                <c:pt idx="8">
                  <c:v>0.83333333333333326</c:v>
                </c:pt>
                <c:pt idx="9">
                  <c:v>-0.41666666666666663</c:v>
                </c:pt>
                <c:pt idx="10">
                  <c:v>-3.9169139465875413E-2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2AE-461A-B032-E9CAD405F008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2AE-461A-B032-E9CAD405F008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62AE-461A-B032-E9CAD405F008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62AE-461A-B032-E9CAD405F008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62AE-461A-B032-E9CAD405F008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62AE-461A-B032-E9CAD405F008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62AE-461A-B032-E9CAD405F008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62AE-461A-B032-E9CAD405F008}"/>
              </c:ext>
            </c:extLst>
          </c:dPt>
          <c:cat>
            <c:strRef>
              <c:f>('viaj aloj lugar residen mes'!$K$10,'viaj aloj lugar residen mes'!$K$11,'viaj aloj lugar residen mes'!$K$14:$K$22)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residen mes'!$R$10:$R$11,'viaj aloj lugar residen mes'!$R$14:$R$22)</c:f>
              <c:numCache>
                <c:formatCode>0.0%</c:formatCode>
                <c:ptCount val="11"/>
                <c:pt idx="0">
                  <c:v>1</c:v>
                </c:pt>
                <c:pt idx="1">
                  <c:v>0.21181941215254885</c:v>
                </c:pt>
                <c:pt idx="2">
                  <c:v>0.78818058784745115</c:v>
                </c:pt>
                <c:pt idx="3">
                  <c:v>0.40517749939271958</c:v>
                </c:pt>
                <c:pt idx="4">
                  <c:v>6.2289620709997572E-2</c:v>
                </c:pt>
                <c:pt idx="5">
                  <c:v>6.7356074539334426E-2</c:v>
                </c:pt>
                <c:pt idx="6">
                  <c:v>1.8565430128049416E-2</c:v>
                </c:pt>
                <c:pt idx="7">
                  <c:v>9.0571537634035471E-3</c:v>
                </c:pt>
                <c:pt idx="8">
                  <c:v>7.6343824825623769E-4</c:v>
                </c:pt>
                <c:pt idx="9">
                  <c:v>2.4291216989971197E-4</c:v>
                </c:pt>
                <c:pt idx="10">
                  <c:v>0.22472845889579068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62AE-461A-B032-E9CAD405F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551459596079018"/>
          <c:y val="0.19048427217274536"/>
          <c:w val="0.82247339202719794"/>
          <c:h val="0.4095317032739328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alojados lugar residen acu'!$U$7</c:f>
              <c:strCache>
                <c:ptCount val="1"/>
                <c:pt idx="0">
                  <c:v>acumulado septiembre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E03-4D2C-9D03-18F545640168}"/>
              </c:ext>
            </c:extLst>
          </c:dPt>
          <c:dPt>
            <c:idx val="4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E03-4D2C-9D03-18F545640168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E03-4D2C-9D03-18F545640168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E03-4D2C-9D03-18F545640168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E03-4D2C-9D03-18F545640168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FE03-4D2C-9D03-18F545640168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FE03-4D2C-9D03-18F545640168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FE03-4D2C-9D03-18F54564016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'viaj alojados lugar residen acu'!$O$9:$O$21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alojados lugar residen acu'!$U$9:$U$21</c:f>
              <c:numCache>
                <c:formatCode>#,##0</c:formatCode>
                <c:ptCount val="13"/>
                <c:pt idx="0">
                  <c:v>254821</c:v>
                </c:pt>
                <c:pt idx="1">
                  <c:v>28687</c:v>
                </c:pt>
                <c:pt idx="2">
                  <c:v>17003</c:v>
                </c:pt>
                <c:pt idx="3">
                  <c:v>11684</c:v>
                </c:pt>
                <c:pt idx="4">
                  <c:v>226134</c:v>
                </c:pt>
                <c:pt idx="5">
                  <c:v>107039</c:v>
                </c:pt>
                <c:pt idx="6">
                  <c:v>18701</c:v>
                </c:pt>
                <c:pt idx="7">
                  <c:v>20258</c:v>
                </c:pt>
                <c:pt idx="8">
                  <c:v>5501</c:v>
                </c:pt>
                <c:pt idx="9">
                  <c:v>3981</c:v>
                </c:pt>
                <c:pt idx="10">
                  <c:v>2801</c:v>
                </c:pt>
                <c:pt idx="11">
                  <c:v>1389</c:v>
                </c:pt>
                <c:pt idx="12">
                  <c:v>66464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E03-4D2C-9D03-18F545640168}"/>
            </c:ext>
          </c:extLst>
        </c:ser>
        <c:ser>
          <c:idx val="1"/>
          <c:order val="1"/>
          <c:tx>
            <c:strRef>
              <c:f>'viaj alojados lugar residen acu'!$V$7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'viaj alojados lugar residen acu'!$O$9:$O$21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alojados lugar residen acu'!$V$9:$V$21</c:f>
              <c:numCache>
                <c:formatCode>0.0%</c:formatCode>
                <c:ptCount val="13"/>
                <c:pt idx="0">
                  <c:v>-4.8620277584685567E-3</c:v>
                </c:pt>
                <c:pt idx="1">
                  <c:v>0.14839871897518009</c:v>
                </c:pt>
                <c:pt idx="2">
                  <c:v>8.0859449494628421E-2</c:v>
                </c:pt>
                <c:pt idx="3">
                  <c:v>0.26327170504919462</c:v>
                </c:pt>
                <c:pt idx="4">
                  <c:v>-2.1429251447513065E-2</c:v>
                </c:pt>
                <c:pt idx="5">
                  <c:v>2.3121774039380538E-2</c:v>
                </c:pt>
                <c:pt idx="6">
                  <c:v>-2.639525197834236E-2</c:v>
                </c:pt>
                <c:pt idx="7">
                  <c:v>-0.11448179394151337</c:v>
                </c:pt>
                <c:pt idx="8">
                  <c:v>-0.10011451006052674</c:v>
                </c:pt>
                <c:pt idx="9">
                  <c:v>-0.2516917293233083</c:v>
                </c:pt>
                <c:pt idx="10">
                  <c:v>8.8612514574426759E-2</c:v>
                </c:pt>
                <c:pt idx="11">
                  <c:v>-0.2658562367864693</c:v>
                </c:pt>
                <c:pt idx="12">
                  <c:v>-2.9481769198195118E-2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E03-4D2C-9D03-18F545640168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E03-4D2C-9D03-18F545640168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FE03-4D2C-9D03-18F545640168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FE03-4D2C-9D03-18F545640168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FE03-4D2C-9D03-18F545640168}"/>
              </c:ext>
            </c:extLst>
          </c:dPt>
          <c:dPt>
            <c:idx val="8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FE03-4D2C-9D03-18F545640168}"/>
              </c:ext>
            </c:extLst>
          </c:dPt>
          <c:dPt>
            <c:idx val="9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FE03-4D2C-9D03-18F545640168}"/>
              </c:ext>
            </c:extLst>
          </c:dPt>
          <c:dPt>
            <c:idx val="12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FE03-4D2C-9D03-18F545640168}"/>
              </c:ext>
            </c:extLst>
          </c:dPt>
          <c:cat>
            <c:strRef>
              <c:f>'viaj alojados lugar residen acu'!$O$9:$O$21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alojados lugar residen acu'!$X$9:$X$21</c:f>
              <c:numCache>
                <c:formatCode>0.0%</c:formatCode>
                <c:ptCount val="13"/>
                <c:pt idx="0">
                  <c:v>1</c:v>
                </c:pt>
                <c:pt idx="1">
                  <c:v>0.11257706389975708</c:v>
                </c:pt>
                <c:pt idx="2">
                  <c:v>6.6725269895338293E-2</c:v>
                </c:pt>
                <c:pt idx="3">
                  <c:v>4.5851794004418786E-2</c:v>
                </c:pt>
                <c:pt idx="4">
                  <c:v>0.88742293610024292</c:v>
                </c:pt>
                <c:pt idx="5">
                  <c:v>0.4200556469050824</c:v>
                </c:pt>
                <c:pt idx="6">
                  <c:v>7.3388770941170467E-2</c:v>
                </c:pt>
                <c:pt idx="7">
                  <c:v>7.9498942394857566E-2</c:v>
                </c:pt>
                <c:pt idx="8">
                  <c:v>2.1587702740354993E-2</c:v>
                </c:pt>
                <c:pt idx="9">
                  <c:v>1.5622731250564122E-2</c:v>
                </c:pt>
                <c:pt idx="10">
                  <c:v>1.0992029699279102E-2</c:v>
                </c:pt>
                <c:pt idx="11">
                  <c:v>5.4508851311312646E-3</c:v>
                </c:pt>
                <c:pt idx="12">
                  <c:v>0.260826227037803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FE03-4D2C-9D03-18F545640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143-41FE-966D-FD2B74ACC2DD}"/>
              </c:ext>
            </c:extLst>
          </c:dPt>
          <c:val>
            <c:numRef>
              <c:f>'Pernoctaciones evol mensu TF'!$I$9:$I$21</c:f>
              <c:numCache>
                <c:formatCode>#,##0</c:formatCode>
                <c:ptCount val="13"/>
                <c:pt idx="0">
                  <c:v>163920</c:v>
                </c:pt>
                <c:pt idx="1">
                  <c:v>156374</c:v>
                </c:pt>
                <c:pt idx="2">
                  <c:v>146134</c:v>
                </c:pt>
                <c:pt idx="3">
                  <c:v>144835</c:v>
                </c:pt>
                <c:pt idx="4">
                  <c:v>140451</c:v>
                </c:pt>
                <c:pt idx="5">
                  <c:v>142289</c:v>
                </c:pt>
                <c:pt idx="6">
                  <c:v>166431</c:v>
                </c:pt>
                <c:pt idx="7">
                  <c:v>181874</c:v>
                </c:pt>
                <c:pt idx="8">
                  <c:v>150809</c:v>
                </c:pt>
                <c:pt idx="9">
                  <c:v>170708</c:v>
                </c:pt>
                <c:pt idx="10">
                  <c:v>164389</c:v>
                </c:pt>
                <c:pt idx="11">
                  <c:v>158524</c:v>
                </c:pt>
                <c:pt idx="12">
                  <c:v>1886738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43-41FE-966D-FD2B74ACC2DD}"/>
            </c:ext>
          </c:extLst>
        </c:ser>
        <c:ser>
          <c:idx val="0"/>
          <c:order val="2"/>
          <c:tx>
            <c:strRef>
              <c:f>'Pernoctaciones evol mensu TF'!$K$7:$L$7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143-41FE-966D-FD2B74ACC2DD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TF'!$K$9:$K$21</c:f>
              <c:numCache>
                <c:formatCode>#,##0</c:formatCode>
                <c:ptCount val="13"/>
                <c:pt idx="0">
                  <c:v>173408</c:v>
                </c:pt>
                <c:pt idx="1">
                  <c:v>166759</c:v>
                </c:pt>
                <c:pt idx="2">
                  <c:v>176870</c:v>
                </c:pt>
                <c:pt idx="3">
                  <c:v>154662</c:v>
                </c:pt>
                <c:pt idx="4">
                  <c:v>159924</c:v>
                </c:pt>
                <c:pt idx="5">
                  <c:v>157113</c:v>
                </c:pt>
                <c:pt idx="6">
                  <c:v>173767</c:v>
                </c:pt>
                <c:pt idx="7">
                  <c:v>179514</c:v>
                </c:pt>
                <c:pt idx="8">
                  <c:v>145872</c:v>
                </c:pt>
                <c:pt idx="9">
                  <c:v>177711</c:v>
                </c:pt>
                <c:pt idx="10">
                  <c:v>162641</c:v>
                </c:pt>
                <c:pt idx="11">
                  <c:v>160539</c:v>
                </c:pt>
                <c:pt idx="12">
                  <c:v>1988780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143-41FE-966D-FD2B74ACC2DD}"/>
            </c:ext>
          </c:extLst>
        </c:ser>
        <c:ser>
          <c:idx val="1"/>
          <c:order val="3"/>
          <c:tx>
            <c:strRef>
              <c:f>'Pernoctaciones evol mensu TF'!$M$7:$N$7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43-41FE-966D-FD2B74ACC2D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43-41FE-966D-FD2B74ACC2DD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TF'!$M$9:$M$21</c:f>
              <c:numCache>
                <c:formatCode>#,##0</c:formatCode>
                <c:ptCount val="13"/>
                <c:pt idx="0">
                  <c:v>169944</c:v>
                </c:pt>
                <c:pt idx="1">
                  <c:v>168166</c:v>
                </c:pt>
                <c:pt idx="2">
                  <c:v>166403</c:v>
                </c:pt>
                <c:pt idx="3">
                  <c:v>160144</c:v>
                </c:pt>
                <c:pt idx="4">
                  <c:v>143215</c:v>
                </c:pt>
                <c:pt idx="5">
                  <c:v>156124</c:v>
                </c:pt>
                <c:pt idx="6">
                  <c:v>187387</c:v>
                </c:pt>
                <c:pt idx="7">
                  <c:v>189132</c:v>
                </c:pt>
                <c:pt idx="8">
                  <c:v>164231</c:v>
                </c:pt>
                <c:pt idx="12">
                  <c:v>1504746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143-41FE-966D-FD2B74ACC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0143-41FE-966D-FD2B74ACC2D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157800</c:v>
                      </c:pt>
                      <c:pt idx="1">
                        <c:v>172884</c:v>
                      </c:pt>
                      <c:pt idx="2">
                        <c:v>82007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60513</c:v>
                      </c:pt>
                      <c:pt idx="8">
                        <c:v>22909</c:v>
                      </c:pt>
                      <c:pt idx="9">
                        <c:v>24343</c:v>
                      </c:pt>
                      <c:pt idx="10">
                        <c:v>30656</c:v>
                      </c:pt>
                      <c:pt idx="11">
                        <c:v>33192</c:v>
                      </c:pt>
                      <c:pt idx="12">
                        <c:v>610766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0143-41FE-966D-FD2B74ACC2D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143-41FE-966D-FD2B74ACC2D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143-41FE-966D-FD2B74ACC2D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143-41FE-966D-FD2B74ACC2D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143-41FE-966D-FD2B74ACC2D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143-41FE-966D-FD2B74ACC2D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143-41FE-966D-FD2B74ACC2D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143-41FE-966D-FD2B74ACC2D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143-41FE-966D-FD2B74ACC2D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143-41FE-966D-FD2B74ACC2D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143-41FE-966D-FD2B74ACC2D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143-41FE-966D-FD2B74ACC2D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0143-41FE-966D-FD2B74ACC2D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0143-41FE-966D-FD2B74ACC2DD}"/>
              </c:ext>
            </c:extLst>
          </c:dPt>
          <c:cat>
            <c:strRef>
              <c:f>'Pernoctaciones evol mensu TF'!$B$9:$B$20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TF'!$N$9:$N$21</c:f>
              <c:numCache>
                <c:formatCode>0.0%</c:formatCode>
                <c:ptCount val="13"/>
                <c:pt idx="0">
                  <c:v>-1.9976010334009975E-2</c:v>
                </c:pt>
                <c:pt idx="1">
                  <c:v>8.437325721550204E-3</c:v>
                </c:pt>
                <c:pt idx="2">
                  <c:v>-5.9179058065245704E-2</c:v>
                </c:pt>
                <c:pt idx="3">
                  <c:v>3.5445034979503687E-2</c:v>
                </c:pt>
                <c:pt idx="4">
                  <c:v>-0.10448087841724818</c:v>
                </c:pt>
                <c:pt idx="5">
                  <c:v>-6.2948323817888507E-3</c:v>
                </c:pt>
                <c:pt idx="6">
                  <c:v>7.8380820293841857E-2</c:v>
                </c:pt>
                <c:pt idx="7">
                  <c:v>5.3577993916908984E-2</c:v>
                </c:pt>
                <c:pt idx="8">
                  <c:v>0.12585691565207857</c:v>
                </c:pt>
                <c:pt idx="12">
                  <c:v>1.1329474174484711E-2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143-41FE-966D-FD2B74ACC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45B-4C02-9C4B-4D09B1E217F9}"/>
              </c:ext>
            </c:extLst>
          </c:dPt>
          <c:val>
            <c:numRef>
              <c:f>'Viajeros entr evol mensu TF'!$I$53:$I$65</c:f>
              <c:numCache>
                <c:formatCode>#,##0</c:formatCode>
                <c:ptCount val="13"/>
                <c:pt idx="0">
                  <c:v>722</c:v>
                </c:pt>
                <c:pt idx="1">
                  <c:v>509</c:v>
                </c:pt>
                <c:pt idx="2">
                  <c:v>747</c:v>
                </c:pt>
                <c:pt idx="3">
                  <c:v>838</c:v>
                </c:pt>
                <c:pt idx="4">
                  <c:v>849</c:v>
                </c:pt>
                <c:pt idx="5">
                  <c:v>1281</c:v>
                </c:pt>
                <c:pt idx="6">
                  <c:v>1503</c:v>
                </c:pt>
                <c:pt idx="7">
                  <c:v>1534</c:v>
                </c:pt>
                <c:pt idx="8">
                  <c:v>1027</c:v>
                </c:pt>
                <c:pt idx="9">
                  <c:v>688</c:v>
                </c:pt>
                <c:pt idx="10">
                  <c:v>605</c:v>
                </c:pt>
                <c:pt idx="11">
                  <c:v>977</c:v>
                </c:pt>
                <c:pt idx="12">
                  <c:v>11280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5B-4C02-9C4B-4D09B1E217F9}"/>
            </c:ext>
          </c:extLst>
        </c:ser>
        <c:ser>
          <c:idx val="0"/>
          <c:order val="2"/>
          <c:tx>
            <c:strRef>
              <c:f>'Viajeros entr evol mensu TF'!$K$51:$L$51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45B-4C02-9C4B-4D09B1E217F9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TF'!$K$53:$K$65</c:f>
              <c:numCache>
                <c:formatCode>#,##0</c:formatCode>
                <c:ptCount val="13"/>
                <c:pt idx="0">
                  <c:v>461</c:v>
                </c:pt>
                <c:pt idx="1">
                  <c:v>473</c:v>
                </c:pt>
                <c:pt idx="2">
                  <c:v>813</c:v>
                </c:pt>
                <c:pt idx="3">
                  <c:v>563</c:v>
                </c:pt>
                <c:pt idx="4">
                  <c:v>742</c:v>
                </c:pt>
                <c:pt idx="5">
                  <c:v>858</c:v>
                </c:pt>
                <c:pt idx="6">
                  <c:v>1216</c:v>
                </c:pt>
                <c:pt idx="7">
                  <c:v>1718</c:v>
                </c:pt>
                <c:pt idx="8">
                  <c:v>1147</c:v>
                </c:pt>
                <c:pt idx="9">
                  <c:v>932</c:v>
                </c:pt>
                <c:pt idx="10">
                  <c:v>937</c:v>
                </c:pt>
                <c:pt idx="11">
                  <c:v>952</c:v>
                </c:pt>
                <c:pt idx="12">
                  <c:v>10812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45B-4C02-9C4B-4D09B1E217F9}"/>
            </c:ext>
          </c:extLst>
        </c:ser>
        <c:ser>
          <c:idx val="1"/>
          <c:order val="3"/>
          <c:tx>
            <c:strRef>
              <c:f>'Viajeros entr evol mensu TF'!$M$51:$N$51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45B-4C02-9C4B-4D09B1E217F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45B-4C02-9C4B-4D09B1E217F9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TF'!$M$53:$M$65</c:f>
              <c:numCache>
                <c:formatCode>#,##0</c:formatCode>
                <c:ptCount val="13"/>
                <c:pt idx="0">
                  <c:v>603</c:v>
                </c:pt>
                <c:pt idx="1">
                  <c:v>400</c:v>
                </c:pt>
                <c:pt idx="2">
                  <c:v>604</c:v>
                </c:pt>
                <c:pt idx="3">
                  <c:v>1123</c:v>
                </c:pt>
                <c:pt idx="4">
                  <c:v>815</c:v>
                </c:pt>
                <c:pt idx="5">
                  <c:v>1243</c:v>
                </c:pt>
                <c:pt idx="6">
                  <c:v>1640</c:v>
                </c:pt>
                <c:pt idx="7">
                  <c:v>2020</c:v>
                </c:pt>
                <c:pt idx="8">
                  <c:v>1800</c:v>
                </c:pt>
                <c:pt idx="12">
                  <c:v>10248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45B-4C02-9C4B-4D09B1E21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45B-4C02-9C4B-4D09B1E217F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332</c:v>
                      </c:pt>
                      <c:pt idx="1">
                        <c:v>399</c:v>
                      </c:pt>
                      <c:pt idx="2">
                        <c:v>135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2124</c:v>
                      </c:pt>
                      <c:pt idx="8">
                        <c:v>1597</c:v>
                      </c:pt>
                      <c:pt idx="9">
                        <c:v>502</c:v>
                      </c:pt>
                      <c:pt idx="10">
                        <c:v>239</c:v>
                      </c:pt>
                      <c:pt idx="11">
                        <c:v>288</c:v>
                      </c:pt>
                      <c:pt idx="12">
                        <c:v>6781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45B-4C02-9C4B-4D09B1E217F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45B-4C02-9C4B-4D09B1E217F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45B-4C02-9C4B-4D09B1E217F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45B-4C02-9C4B-4D09B1E217F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45B-4C02-9C4B-4D09B1E217F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45B-4C02-9C4B-4D09B1E217F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45B-4C02-9C4B-4D09B1E217F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45B-4C02-9C4B-4D09B1E217F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45B-4C02-9C4B-4D09B1E217F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45B-4C02-9C4B-4D09B1E217F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45B-4C02-9C4B-4D09B1E217F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45B-4C02-9C4B-4D09B1E217F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45B-4C02-9C4B-4D09B1E217F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45B-4C02-9C4B-4D09B1E217F9}"/>
              </c:ext>
            </c:extLst>
          </c:dPt>
          <c:cat>
            <c:strRef>
              <c:f>'Viajeros entr evol mensu TF'!$B$53:$B$64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TF'!$N$53:$N$65</c:f>
              <c:numCache>
                <c:formatCode>0.0%</c:formatCode>
                <c:ptCount val="13"/>
                <c:pt idx="0">
                  <c:v>0.30802603036876364</c:v>
                </c:pt>
                <c:pt idx="1">
                  <c:v>-0.15433403805496826</c:v>
                </c:pt>
                <c:pt idx="2">
                  <c:v>-0.25707257072570722</c:v>
                </c:pt>
                <c:pt idx="3">
                  <c:v>0.99467140319715819</c:v>
                </c:pt>
                <c:pt idx="4">
                  <c:v>9.8382749326145547E-2</c:v>
                </c:pt>
                <c:pt idx="5">
                  <c:v>0.44871794871794868</c:v>
                </c:pt>
                <c:pt idx="6">
                  <c:v>0.34868421052631571</c:v>
                </c:pt>
                <c:pt idx="7">
                  <c:v>0.17578579743888234</c:v>
                </c:pt>
                <c:pt idx="8">
                  <c:v>0.56931124673060163</c:v>
                </c:pt>
                <c:pt idx="12">
                  <c:v>0.28244274809160297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45B-4C02-9C4B-4D09B1E21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441-4771-A6CB-8BF434F46930}"/>
              </c:ext>
            </c:extLst>
          </c:dPt>
          <c:val>
            <c:numRef>
              <c:f>'Pernoctaciones evol mensu TF'!$I$31:$I$43</c:f>
              <c:numCache>
                <c:formatCode>#,##0</c:formatCode>
                <c:ptCount val="13"/>
                <c:pt idx="0">
                  <c:v>7684</c:v>
                </c:pt>
                <c:pt idx="1">
                  <c:v>4631</c:v>
                </c:pt>
                <c:pt idx="2">
                  <c:v>6445</c:v>
                </c:pt>
                <c:pt idx="3">
                  <c:v>11356</c:v>
                </c:pt>
                <c:pt idx="4">
                  <c:v>8116</c:v>
                </c:pt>
                <c:pt idx="5">
                  <c:v>11716</c:v>
                </c:pt>
                <c:pt idx="6">
                  <c:v>16350</c:v>
                </c:pt>
                <c:pt idx="7">
                  <c:v>17040</c:v>
                </c:pt>
                <c:pt idx="8">
                  <c:v>12268</c:v>
                </c:pt>
                <c:pt idx="9">
                  <c:v>7638</c:v>
                </c:pt>
                <c:pt idx="10">
                  <c:v>4428</c:v>
                </c:pt>
                <c:pt idx="11">
                  <c:v>6411</c:v>
                </c:pt>
                <c:pt idx="12">
                  <c:v>114083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41-4771-A6CB-8BF434F46930}"/>
            </c:ext>
          </c:extLst>
        </c:ser>
        <c:ser>
          <c:idx val="0"/>
          <c:order val="2"/>
          <c:tx>
            <c:strRef>
              <c:f>'Pernoctaciones evol mensu TF'!$K$29:$L$29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441-4771-A6CB-8BF434F46930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TF'!$K$31:$K$43</c:f>
              <c:numCache>
                <c:formatCode>#,##0</c:formatCode>
                <c:ptCount val="13"/>
                <c:pt idx="0">
                  <c:v>4643</c:v>
                </c:pt>
                <c:pt idx="1">
                  <c:v>3359</c:v>
                </c:pt>
                <c:pt idx="2">
                  <c:v>7332</c:v>
                </c:pt>
                <c:pt idx="3">
                  <c:v>5241</c:v>
                </c:pt>
                <c:pt idx="4">
                  <c:v>6651</c:v>
                </c:pt>
                <c:pt idx="5">
                  <c:v>9313</c:v>
                </c:pt>
                <c:pt idx="6">
                  <c:v>15147</c:v>
                </c:pt>
                <c:pt idx="7">
                  <c:v>17997</c:v>
                </c:pt>
                <c:pt idx="8">
                  <c:v>11247</c:v>
                </c:pt>
                <c:pt idx="9">
                  <c:v>11565</c:v>
                </c:pt>
                <c:pt idx="10">
                  <c:v>5701</c:v>
                </c:pt>
                <c:pt idx="11">
                  <c:v>5544</c:v>
                </c:pt>
                <c:pt idx="12">
                  <c:v>103740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441-4771-A6CB-8BF434F46930}"/>
            </c:ext>
          </c:extLst>
        </c:ser>
        <c:ser>
          <c:idx val="1"/>
          <c:order val="3"/>
          <c:tx>
            <c:strRef>
              <c:f>'Pernoctaciones evol mensu TF'!$M$29:$N$29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441-4771-A6CB-8BF434F4693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441-4771-A6CB-8BF434F46930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TF'!$M$31:$M$43</c:f>
              <c:numCache>
                <c:formatCode>#,##0</c:formatCode>
                <c:ptCount val="13"/>
                <c:pt idx="0">
                  <c:v>4190</c:v>
                </c:pt>
                <c:pt idx="1">
                  <c:v>2494</c:v>
                </c:pt>
                <c:pt idx="2">
                  <c:v>3474</c:v>
                </c:pt>
                <c:pt idx="3">
                  <c:v>8301</c:v>
                </c:pt>
                <c:pt idx="4">
                  <c:v>7050</c:v>
                </c:pt>
                <c:pt idx="5">
                  <c:v>9472</c:v>
                </c:pt>
                <c:pt idx="6">
                  <c:v>20797</c:v>
                </c:pt>
                <c:pt idx="7">
                  <c:v>22722</c:v>
                </c:pt>
                <c:pt idx="8">
                  <c:v>20603</c:v>
                </c:pt>
                <c:pt idx="12">
                  <c:v>99103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441-4771-A6CB-8BF434F46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441-4771-A6CB-8BF434F4693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2810</c:v>
                      </c:pt>
                      <c:pt idx="1">
                        <c:v>4481</c:v>
                      </c:pt>
                      <c:pt idx="2">
                        <c:v>1861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24732</c:v>
                      </c:pt>
                      <c:pt idx="8">
                        <c:v>10533</c:v>
                      </c:pt>
                      <c:pt idx="9">
                        <c:v>9331</c:v>
                      </c:pt>
                      <c:pt idx="10">
                        <c:v>6163</c:v>
                      </c:pt>
                      <c:pt idx="11">
                        <c:v>4505</c:v>
                      </c:pt>
                      <c:pt idx="12">
                        <c:v>77176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441-4771-A6CB-8BF434F4693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441-4771-A6CB-8BF434F4693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441-4771-A6CB-8BF434F4693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441-4771-A6CB-8BF434F4693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441-4771-A6CB-8BF434F4693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441-4771-A6CB-8BF434F4693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441-4771-A6CB-8BF434F4693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441-4771-A6CB-8BF434F4693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441-4771-A6CB-8BF434F4693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441-4771-A6CB-8BF434F4693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441-4771-A6CB-8BF434F4693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441-4771-A6CB-8BF434F4693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441-4771-A6CB-8BF434F4693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441-4771-A6CB-8BF434F46930}"/>
              </c:ext>
            </c:extLst>
          </c:dPt>
          <c:cat>
            <c:strRef>
              <c:f>'Pernoctaciones evol mensu TF'!$B$31:$B$42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TF'!$N$31:$N$43</c:f>
              <c:numCache>
                <c:formatCode>0.0%</c:formatCode>
                <c:ptCount val="13"/>
                <c:pt idx="0">
                  <c:v>-9.7566228731423621E-2</c:v>
                </c:pt>
                <c:pt idx="1">
                  <c:v>-0.2575171181899375</c:v>
                </c:pt>
                <c:pt idx="2">
                  <c:v>-0.52618657937806868</c:v>
                </c:pt>
                <c:pt idx="3">
                  <c:v>0.58385804235832861</c:v>
                </c:pt>
                <c:pt idx="4">
                  <c:v>5.999097880018045E-2</c:v>
                </c:pt>
                <c:pt idx="5">
                  <c:v>1.7072908837109324E-2</c:v>
                </c:pt>
                <c:pt idx="6">
                  <c:v>0.37301115732488288</c:v>
                </c:pt>
                <c:pt idx="7">
                  <c:v>0.26254375729288215</c:v>
                </c:pt>
                <c:pt idx="8">
                  <c:v>0.83186627545123137</c:v>
                </c:pt>
                <c:pt idx="12">
                  <c:v>0.2245520820462128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441-4771-A6CB-8BF434F46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4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14E-41F7-92B1-7DE771A46784}"/>
              </c:ext>
            </c:extLst>
          </c:dPt>
          <c:val>
            <c:numRef>
              <c:f>'Pernoctaciones evol mensu TF'!$I$53:$I$65</c:f>
              <c:numCache>
                <c:formatCode>#,##0</c:formatCode>
                <c:ptCount val="13"/>
                <c:pt idx="0">
                  <c:v>3641</c:v>
                </c:pt>
                <c:pt idx="1">
                  <c:v>2303</c:v>
                </c:pt>
                <c:pt idx="2">
                  <c:v>3123</c:v>
                </c:pt>
                <c:pt idx="3">
                  <c:v>3426</c:v>
                </c:pt>
                <c:pt idx="4">
                  <c:v>3361</c:v>
                </c:pt>
                <c:pt idx="5">
                  <c:v>5560</c:v>
                </c:pt>
                <c:pt idx="6">
                  <c:v>8165</c:v>
                </c:pt>
                <c:pt idx="7">
                  <c:v>8609</c:v>
                </c:pt>
                <c:pt idx="8">
                  <c:v>5659</c:v>
                </c:pt>
                <c:pt idx="9">
                  <c:v>3348</c:v>
                </c:pt>
                <c:pt idx="10">
                  <c:v>2681</c:v>
                </c:pt>
                <c:pt idx="11">
                  <c:v>4117</c:v>
                </c:pt>
                <c:pt idx="12">
                  <c:v>53993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4E-41F7-92B1-7DE771A46784}"/>
            </c:ext>
          </c:extLst>
        </c:ser>
        <c:ser>
          <c:idx val="0"/>
          <c:order val="2"/>
          <c:tx>
            <c:strRef>
              <c:f>'Pernoctaciones evol mensu TF'!$K$51:$L$51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14E-41F7-92B1-7DE771A46784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TF'!$K$53:$K$65</c:f>
              <c:numCache>
                <c:formatCode>#,##0</c:formatCode>
                <c:ptCount val="13"/>
                <c:pt idx="0">
                  <c:v>2676</c:v>
                </c:pt>
                <c:pt idx="1">
                  <c:v>1677</c:v>
                </c:pt>
                <c:pt idx="2">
                  <c:v>3345</c:v>
                </c:pt>
                <c:pt idx="3">
                  <c:v>2702</c:v>
                </c:pt>
                <c:pt idx="4">
                  <c:v>3660</c:v>
                </c:pt>
                <c:pt idx="5">
                  <c:v>4118</c:v>
                </c:pt>
                <c:pt idx="6">
                  <c:v>7349</c:v>
                </c:pt>
                <c:pt idx="7">
                  <c:v>10060</c:v>
                </c:pt>
                <c:pt idx="8">
                  <c:v>6716</c:v>
                </c:pt>
                <c:pt idx="9">
                  <c:v>4738</c:v>
                </c:pt>
                <c:pt idx="10">
                  <c:v>4224</c:v>
                </c:pt>
                <c:pt idx="11">
                  <c:v>4590</c:v>
                </c:pt>
                <c:pt idx="12">
                  <c:v>55855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4E-41F7-92B1-7DE771A46784}"/>
            </c:ext>
          </c:extLst>
        </c:ser>
        <c:ser>
          <c:idx val="1"/>
          <c:order val="3"/>
          <c:tx>
            <c:strRef>
              <c:f>'Pernoctaciones evol mensu TF'!$M$51:$N$51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14E-41F7-92B1-7DE771A46784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14E-41F7-92B1-7DE771A46784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TF'!$M$53:$M$65</c:f>
              <c:numCache>
                <c:formatCode>#,##0</c:formatCode>
                <c:ptCount val="13"/>
                <c:pt idx="0">
                  <c:v>3585</c:v>
                </c:pt>
                <c:pt idx="1">
                  <c:v>1820</c:v>
                </c:pt>
                <c:pt idx="2">
                  <c:v>2781</c:v>
                </c:pt>
                <c:pt idx="3">
                  <c:v>5202</c:v>
                </c:pt>
                <c:pt idx="4">
                  <c:v>4562</c:v>
                </c:pt>
                <c:pt idx="5">
                  <c:v>5916</c:v>
                </c:pt>
                <c:pt idx="6">
                  <c:v>8907</c:v>
                </c:pt>
                <c:pt idx="7">
                  <c:v>11833</c:v>
                </c:pt>
                <c:pt idx="8">
                  <c:v>9450</c:v>
                </c:pt>
                <c:pt idx="12">
                  <c:v>54056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14E-41F7-92B1-7DE771A467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14E-41F7-92B1-7DE771A4678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1602</c:v>
                      </c:pt>
                      <c:pt idx="1">
                        <c:v>1729</c:v>
                      </c:pt>
                      <c:pt idx="2">
                        <c:v>789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8054</c:v>
                      </c:pt>
                      <c:pt idx="8">
                        <c:v>4755</c:v>
                      </c:pt>
                      <c:pt idx="9">
                        <c:v>2420</c:v>
                      </c:pt>
                      <c:pt idx="10">
                        <c:v>1179</c:v>
                      </c:pt>
                      <c:pt idx="11">
                        <c:v>1230</c:v>
                      </c:pt>
                      <c:pt idx="12">
                        <c:v>26118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14E-41F7-92B1-7DE771A4678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14E-41F7-92B1-7DE771A4678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14E-41F7-92B1-7DE771A4678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14E-41F7-92B1-7DE771A4678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14E-41F7-92B1-7DE771A4678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14E-41F7-92B1-7DE771A4678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14E-41F7-92B1-7DE771A4678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14E-41F7-92B1-7DE771A4678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14E-41F7-92B1-7DE771A4678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14E-41F7-92B1-7DE771A4678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14E-41F7-92B1-7DE771A4678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14E-41F7-92B1-7DE771A4678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14E-41F7-92B1-7DE771A4678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14E-41F7-92B1-7DE771A46784}"/>
              </c:ext>
            </c:extLst>
          </c:dPt>
          <c:cat>
            <c:strRef>
              <c:f>'Pernoctaciones evol mensu TF'!$B$53:$B$64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TF'!$N$53:$N$65</c:f>
              <c:numCache>
                <c:formatCode>0.0%</c:formatCode>
                <c:ptCount val="13"/>
                <c:pt idx="0">
                  <c:v>0.33968609865470856</c:v>
                </c:pt>
                <c:pt idx="1">
                  <c:v>8.5271317829457294E-2</c:v>
                </c:pt>
                <c:pt idx="2">
                  <c:v>-0.16860986547085199</c:v>
                </c:pt>
                <c:pt idx="3">
                  <c:v>0.92524056254626208</c:v>
                </c:pt>
                <c:pt idx="4">
                  <c:v>0.24644808743169389</c:v>
                </c:pt>
                <c:pt idx="5">
                  <c:v>0.43661971830985924</c:v>
                </c:pt>
                <c:pt idx="6">
                  <c:v>0.21200163287522122</c:v>
                </c:pt>
                <c:pt idx="7">
                  <c:v>0.17624254473161027</c:v>
                </c:pt>
                <c:pt idx="8">
                  <c:v>0.40708755211435377</c:v>
                </c:pt>
                <c:pt idx="12">
                  <c:v>0.27782899557950969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14E-41F7-92B1-7DE771A467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32C-42FD-9A1B-98FBC1B9B39C}"/>
              </c:ext>
            </c:extLst>
          </c:dPt>
          <c:val>
            <c:numRef>
              <c:f>'Pernoctaciones evol mensu TF'!$I$75:$I$87</c:f>
              <c:numCache>
                <c:formatCode>#,##0</c:formatCode>
                <c:ptCount val="13"/>
                <c:pt idx="0">
                  <c:v>4043</c:v>
                </c:pt>
                <c:pt idx="1">
                  <c:v>2328</c:v>
                </c:pt>
                <c:pt idx="2">
                  <c:v>3322</c:v>
                </c:pt>
                <c:pt idx="3">
                  <c:v>7930</c:v>
                </c:pt>
                <c:pt idx="4">
                  <c:v>4755</c:v>
                </c:pt>
                <c:pt idx="5">
                  <c:v>6156</c:v>
                </c:pt>
                <c:pt idx="6">
                  <c:v>8185</c:v>
                </c:pt>
                <c:pt idx="7">
                  <c:v>8431</c:v>
                </c:pt>
                <c:pt idx="8">
                  <c:v>6609</c:v>
                </c:pt>
                <c:pt idx="9">
                  <c:v>4290</c:v>
                </c:pt>
                <c:pt idx="10">
                  <c:v>1747</c:v>
                </c:pt>
                <c:pt idx="11">
                  <c:v>2294</c:v>
                </c:pt>
                <c:pt idx="12">
                  <c:v>60090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2C-42FD-9A1B-98FBC1B9B39C}"/>
            </c:ext>
          </c:extLst>
        </c:ser>
        <c:ser>
          <c:idx val="0"/>
          <c:order val="2"/>
          <c:tx>
            <c:strRef>
              <c:f>'Pernoctaciones evol mensu TF'!$K$73:$L$73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32C-42FD-9A1B-98FBC1B9B39C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TF'!$K$75:$K$87</c:f>
              <c:numCache>
                <c:formatCode>#,##0</c:formatCode>
                <c:ptCount val="13"/>
                <c:pt idx="0">
                  <c:v>1967</c:v>
                </c:pt>
                <c:pt idx="1">
                  <c:v>1682</c:v>
                </c:pt>
                <c:pt idx="2">
                  <c:v>3987</c:v>
                </c:pt>
                <c:pt idx="3">
                  <c:v>2539</c:v>
                </c:pt>
                <c:pt idx="4">
                  <c:v>2991</c:v>
                </c:pt>
                <c:pt idx="5">
                  <c:v>5195</c:v>
                </c:pt>
                <c:pt idx="6">
                  <c:v>7798</c:v>
                </c:pt>
                <c:pt idx="7">
                  <c:v>7937</c:v>
                </c:pt>
                <c:pt idx="8">
                  <c:v>4531</c:v>
                </c:pt>
                <c:pt idx="9">
                  <c:v>6827</c:v>
                </c:pt>
                <c:pt idx="10">
                  <c:v>1477</c:v>
                </c:pt>
                <c:pt idx="11">
                  <c:v>954</c:v>
                </c:pt>
                <c:pt idx="12">
                  <c:v>47885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32C-42FD-9A1B-98FBC1B9B39C}"/>
            </c:ext>
          </c:extLst>
        </c:ser>
        <c:ser>
          <c:idx val="1"/>
          <c:order val="3"/>
          <c:tx>
            <c:strRef>
              <c:f>'Pernoctaciones evol mensu TF'!$M$73:$N$73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32C-42FD-9A1B-98FBC1B9B39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32C-42FD-9A1B-98FBC1B9B39C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TF'!$M$75:$M$87</c:f>
              <c:numCache>
                <c:formatCode>#,##0</c:formatCode>
                <c:ptCount val="13"/>
                <c:pt idx="0">
                  <c:v>605</c:v>
                </c:pt>
                <c:pt idx="1">
                  <c:v>674</c:v>
                </c:pt>
                <c:pt idx="2">
                  <c:v>693</c:v>
                </c:pt>
                <c:pt idx="3">
                  <c:v>3099</c:v>
                </c:pt>
                <c:pt idx="4">
                  <c:v>2488</c:v>
                </c:pt>
                <c:pt idx="5">
                  <c:v>3556</c:v>
                </c:pt>
                <c:pt idx="6">
                  <c:v>11890</c:v>
                </c:pt>
                <c:pt idx="7">
                  <c:v>10889</c:v>
                </c:pt>
                <c:pt idx="8">
                  <c:v>11153</c:v>
                </c:pt>
                <c:pt idx="12">
                  <c:v>45047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32C-42FD-9A1B-98FBC1B9B3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32C-42FD-9A1B-98FBC1B9B39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1208</c:v>
                      </c:pt>
                      <c:pt idx="1">
                        <c:v>2752</c:v>
                      </c:pt>
                      <c:pt idx="2">
                        <c:v>1072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16678</c:v>
                      </c:pt>
                      <c:pt idx="8">
                        <c:v>5778</c:v>
                      </c:pt>
                      <c:pt idx="9">
                        <c:v>6911</c:v>
                      </c:pt>
                      <c:pt idx="10">
                        <c:v>4984</c:v>
                      </c:pt>
                      <c:pt idx="11">
                        <c:v>3275</c:v>
                      </c:pt>
                      <c:pt idx="12">
                        <c:v>51058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32C-42FD-9A1B-98FBC1B9B39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32C-42FD-9A1B-98FBC1B9B39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32C-42FD-9A1B-98FBC1B9B39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32C-42FD-9A1B-98FBC1B9B39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32C-42FD-9A1B-98FBC1B9B39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32C-42FD-9A1B-98FBC1B9B39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32C-42FD-9A1B-98FBC1B9B39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32C-42FD-9A1B-98FBC1B9B39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32C-42FD-9A1B-98FBC1B9B39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32C-42FD-9A1B-98FBC1B9B39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32C-42FD-9A1B-98FBC1B9B39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32C-42FD-9A1B-98FBC1B9B39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32C-42FD-9A1B-98FBC1B9B39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32C-42FD-9A1B-98FBC1B9B39C}"/>
              </c:ext>
            </c:extLst>
          </c:dPt>
          <c:cat>
            <c:strRef>
              <c:f>'Pernoctaciones evol mensu TF'!$B$75:$B$86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TF'!$N$75:$N$87</c:f>
              <c:numCache>
                <c:formatCode>0.0%</c:formatCode>
                <c:ptCount val="13"/>
                <c:pt idx="0">
                  <c:v>-0.69242501270971024</c:v>
                </c:pt>
                <c:pt idx="1">
                  <c:v>-0.59928656361474442</c:v>
                </c:pt>
                <c:pt idx="2">
                  <c:v>-0.82618510158013547</c:v>
                </c:pt>
                <c:pt idx="3">
                  <c:v>0.22055927530523833</c:v>
                </c:pt>
                <c:pt idx="4">
                  <c:v>-0.1681711802072885</c:v>
                </c:pt>
                <c:pt idx="5">
                  <c:v>-0.31549566891241576</c:v>
                </c:pt>
                <c:pt idx="6">
                  <c:v>0.52474993588099506</c:v>
                </c:pt>
                <c:pt idx="7">
                  <c:v>0.37192894040569491</c:v>
                </c:pt>
                <c:pt idx="8">
                  <c:v>1.4614875303465018</c:v>
                </c:pt>
                <c:pt idx="12">
                  <c:v>0.16620498614958445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32C-42FD-9A1B-98FBC1B9B3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992-4A4C-A54A-522F470A7E6E}"/>
              </c:ext>
            </c:extLst>
          </c:dPt>
          <c:val>
            <c:numRef>
              <c:f>'Pernoctaciones evol mensu TF'!$I$97:$I$109</c:f>
              <c:numCache>
                <c:formatCode>#,##0</c:formatCode>
                <c:ptCount val="13"/>
                <c:pt idx="0">
                  <c:v>156236</c:v>
                </c:pt>
                <c:pt idx="1">
                  <c:v>151743</c:v>
                </c:pt>
                <c:pt idx="2">
                  <c:v>139689</c:v>
                </c:pt>
                <c:pt idx="3">
                  <c:v>133479</c:v>
                </c:pt>
                <c:pt idx="4">
                  <c:v>132335</c:v>
                </c:pt>
                <c:pt idx="5">
                  <c:v>130573</c:v>
                </c:pt>
                <c:pt idx="6">
                  <c:v>150081</c:v>
                </c:pt>
                <c:pt idx="7">
                  <c:v>164834</c:v>
                </c:pt>
                <c:pt idx="8">
                  <c:v>138541</c:v>
                </c:pt>
                <c:pt idx="9">
                  <c:v>163070</c:v>
                </c:pt>
                <c:pt idx="10">
                  <c:v>159961</c:v>
                </c:pt>
                <c:pt idx="11">
                  <c:v>152113</c:v>
                </c:pt>
                <c:pt idx="12">
                  <c:v>1772655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92-4A4C-A54A-522F470A7E6E}"/>
            </c:ext>
          </c:extLst>
        </c:ser>
        <c:ser>
          <c:idx val="0"/>
          <c:order val="2"/>
          <c:tx>
            <c:strRef>
              <c:f>'Pernoctaciones evol mensu TF'!$K$95:$L$95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992-4A4C-A54A-522F470A7E6E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TF'!$K$97:$K$109</c:f>
              <c:numCache>
                <c:formatCode>#,##0</c:formatCode>
                <c:ptCount val="13"/>
                <c:pt idx="0">
                  <c:v>168765</c:v>
                </c:pt>
                <c:pt idx="1">
                  <c:v>163400</c:v>
                </c:pt>
                <c:pt idx="2">
                  <c:v>169538</c:v>
                </c:pt>
                <c:pt idx="3">
                  <c:v>149421</c:v>
                </c:pt>
                <c:pt idx="4">
                  <c:v>153273</c:v>
                </c:pt>
                <c:pt idx="5">
                  <c:v>147800</c:v>
                </c:pt>
                <c:pt idx="6">
                  <c:v>158620</c:v>
                </c:pt>
                <c:pt idx="7">
                  <c:v>161517</c:v>
                </c:pt>
                <c:pt idx="8">
                  <c:v>134625</c:v>
                </c:pt>
                <c:pt idx="9">
                  <c:v>166146</c:v>
                </c:pt>
                <c:pt idx="10">
                  <c:v>156940</c:v>
                </c:pt>
                <c:pt idx="11">
                  <c:v>154995</c:v>
                </c:pt>
                <c:pt idx="12">
                  <c:v>1885040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992-4A4C-A54A-522F470A7E6E}"/>
            </c:ext>
          </c:extLst>
        </c:ser>
        <c:ser>
          <c:idx val="1"/>
          <c:order val="3"/>
          <c:tx>
            <c:strRef>
              <c:f>'Pernoctaciones evol mensu TF'!$M$95:$N$95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992-4A4C-A54A-522F470A7E6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992-4A4C-A54A-522F470A7E6E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TF'!$M$97:$M$109</c:f>
              <c:numCache>
                <c:formatCode>#,##0</c:formatCode>
                <c:ptCount val="13"/>
                <c:pt idx="0">
                  <c:v>165754</c:v>
                </c:pt>
                <c:pt idx="1">
                  <c:v>165672</c:v>
                </c:pt>
                <c:pt idx="2">
                  <c:v>162929</c:v>
                </c:pt>
                <c:pt idx="3">
                  <c:v>151843</c:v>
                </c:pt>
                <c:pt idx="4">
                  <c:v>136165</c:v>
                </c:pt>
                <c:pt idx="5">
                  <c:v>146652</c:v>
                </c:pt>
                <c:pt idx="6">
                  <c:v>166590</c:v>
                </c:pt>
                <c:pt idx="7">
                  <c:v>166410</c:v>
                </c:pt>
                <c:pt idx="8">
                  <c:v>143628</c:v>
                </c:pt>
                <c:pt idx="12">
                  <c:v>1405643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992-4A4C-A54A-522F470A7E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992-4A4C-A54A-522F470A7E6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154990</c:v>
                      </c:pt>
                      <c:pt idx="1">
                        <c:v>168403</c:v>
                      </c:pt>
                      <c:pt idx="2">
                        <c:v>80146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35781</c:v>
                      </c:pt>
                      <c:pt idx="8">
                        <c:v>12376</c:v>
                      </c:pt>
                      <c:pt idx="9">
                        <c:v>15012</c:v>
                      </c:pt>
                      <c:pt idx="10">
                        <c:v>24493</c:v>
                      </c:pt>
                      <c:pt idx="11">
                        <c:v>28687</c:v>
                      </c:pt>
                      <c:pt idx="12">
                        <c:v>533590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992-4A4C-A54A-522F470A7E6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992-4A4C-A54A-522F470A7E6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992-4A4C-A54A-522F470A7E6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992-4A4C-A54A-522F470A7E6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992-4A4C-A54A-522F470A7E6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992-4A4C-A54A-522F470A7E6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992-4A4C-A54A-522F470A7E6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992-4A4C-A54A-522F470A7E6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992-4A4C-A54A-522F470A7E6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992-4A4C-A54A-522F470A7E6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992-4A4C-A54A-522F470A7E6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992-4A4C-A54A-522F470A7E6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992-4A4C-A54A-522F470A7E6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992-4A4C-A54A-522F470A7E6E}"/>
              </c:ext>
            </c:extLst>
          </c:dPt>
          <c:cat>
            <c:strRef>
              <c:f>'Pernoctaciones evol mensu TF'!$B$97:$B$108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TF'!$N$97:$N$109</c:f>
              <c:numCache>
                <c:formatCode>0.0%</c:formatCode>
                <c:ptCount val="13"/>
                <c:pt idx="0">
                  <c:v>-1.7841377062779551E-2</c:v>
                </c:pt>
                <c:pt idx="1">
                  <c:v>1.3904528763769797E-2</c:v>
                </c:pt>
                <c:pt idx="2">
                  <c:v>-3.8982411022897567E-2</c:v>
                </c:pt>
                <c:pt idx="3">
                  <c:v>1.6209234311107545E-2</c:v>
                </c:pt>
                <c:pt idx="4">
                  <c:v>-0.11161783223398769</c:v>
                </c:pt>
                <c:pt idx="5">
                  <c:v>-7.7672530446549759E-3</c:v>
                </c:pt>
                <c:pt idx="6">
                  <c:v>5.0245870634220147E-2</c:v>
                </c:pt>
                <c:pt idx="7">
                  <c:v>3.0294024777577588E-2</c:v>
                </c:pt>
                <c:pt idx="8">
                  <c:v>6.687465181058494E-2</c:v>
                </c:pt>
                <c:pt idx="12">
                  <c:v>-9.353506392154598E-4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992-4A4C-A54A-522F470A7E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TF'!$I$117:$J$117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7B2-42BC-846F-7E8DE79C5427}"/>
              </c:ext>
            </c:extLst>
          </c:dPt>
          <c:val>
            <c:numRef>
              <c:f>'Pernoctaciones evol mensu TF'!$I$119:$I$131</c:f>
              <c:numCache>
                <c:formatCode>#,##0</c:formatCode>
                <c:ptCount val="13"/>
                <c:pt idx="0">
                  <c:v>59113</c:v>
                </c:pt>
                <c:pt idx="1">
                  <c:v>57709</c:v>
                </c:pt>
                <c:pt idx="2">
                  <c:v>46927</c:v>
                </c:pt>
                <c:pt idx="3">
                  <c:v>48951</c:v>
                </c:pt>
                <c:pt idx="4">
                  <c:v>59272</c:v>
                </c:pt>
                <c:pt idx="5">
                  <c:v>59708</c:v>
                </c:pt>
                <c:pt idx="6">
                  <c:v>67918</c:v>
                </c:pt>
                <c:pt idx="7">
                  <c:v>76684</c:v>
                </c:pt>
                <c:pt idx="8">
                  <c:v>69941</c:v>
                </c:pt>
                <c:pt idx="9">
                  <c:v>76376</c:v>
                </c:pt>
                <c:pt idx="10">
                  <c:v>64734</c:v>
                </c:pt>
                <c:pt idx="11">
                  <c:v>58399</c:v>
                </c:pt>
                <c:pt idx="12">
                  <c:v>745732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B2-42BC-846F-7E8DE79C5427}"/>
            </c:ext>
          </c:extLst>
        </c:ser>
        <c:ser>
          <c:idx val="0"/>
          <c:order val="2"/>
          <c:tx>
            <c:strRef>
              <c:f>'Pernoctaciones evol mensu TF'!$K$117:$L$117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7B2-42BC-846F-7E8DE79C5427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TF'!$K$119:$K$131</c:f>
              <c:numCache>
                <c:formatCode>#,##0</c:formatCode>
                <c:ptCount val="13"/>
                <c:pt idx="0">
                  <c:v>66871</c:v>
                </c:pt>
                <c:pt idx="1">
                  <c:v>68185</c:v>
                </c:pt>
                <c:pt idx="2">
                  <c:v>62209</c:v>
                </c:pt>
                <c:pt idx="3">
                  <c:v>65140</c:v>
                </c:pt>
                <c:pt idx="4">
                  <c:v>74566</c:v>
                </c:pt>
                <c:pt idx="5">
                  <c:v>77243</c:v>
                </c:pt>
                <c:pt idx="6">
                  <c:v>76495</c:v>
                </c:pt>
                <c:pt idx="7">
                  <c:v>82370</c:v>
                </c:pt>
                <c:pt idx="8">
                  <c:v>69701</c:v>
                </c:pt>
                <c:pt idx="9">
                  <c:v>81903</c:v>
                </c:pt>
                <c:pt idx="10">
                  <c:v>69290</c:v>
                </c:pt>
                <c:pt idx="11">
                  <c:v>63488</c:v>
                </c:pt>
                <c:pt idx="12">
                  <c:v>857461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7B2-42BC-846F-7E8DE79C5427}"/>
            </c:ext>
          </c:extLst>
        </c:ser>
        <c:ser>
          <c:idx val="1"/>
          <c:order val="3"/>
          <c:tx>
            <c:strRef>
              <c:f>'Pernoctaciones evol mensu TF'!$M$117:$N$117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7B2-42BC-846F-7E8DE79C542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67B2-42BC-846F-7E8DE79C5427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TF'!$M$119:$M$131</c:f>
              <c:numCache>
                <c:formatCode>#,##0</c:formatCode>
                <c:ptCount val="13"/>
                <c:pt idx="0">
                  <c:v>72901</c:v>
                </c:pt>
                <c:pt idx="1">
                  <c:v>72176</c:v>
                </c:pt>
                <c:pt idx="2">
                  <c:v>65836</c:v>
                </c:pt>
                <c:pt idx="3">
                  <c:v>70585</c:v>
                </c:pt>
                <c:pt idx="4">
                  <c:v>74655</c:v>
                </c:pt>
                <c:pt idx="5">
                  <c:v>76127</c:v>
                </c:pt>
                <c:pt idx="6">
                  <c:v>80250</c:v>
                </c:pt>
                <c:pt idx="7">
                  <c:v>87951</c:v>
                </c:pt>
                <c:pt idx="8">
                  <c:v>74942</c:v>
                </c:pt>
                <c:pt idx="12">
                  <c:v>675423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7B2-42BC-846F-7E8DE79C5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TF'!$C$117:$D$117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67B2-42BC-846F-7E8DE79C542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TF'!$C$119:$C$131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75091</c:v>
                      </c:pt>
                      <c:pt idx="1">
                        <c:v>81036</c:v>
                      </c:pt>
                      <c:pt idx="2">
                        <c:v>42067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2044</c:v>
                      </c:pt>
                      <c:pt idx="8">
                        <c:v>1376</c:v>
                      </c:pt>
                      <c:pt idx="9">
                        <c:v>2708</c:v>
                      </c:pt>
                      <c:pt idx="10">
                        <c:v>10487</c:v>
                      </c:pt>
                      <c:pt idx="11">
                        <c:v>8843</c:v>
                      </c:pt>
                      <c:pt idx="12">
                        <c:v>226701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67B2-42BC-846F-7E8DE79C542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TF'!$N$118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7B2-42BC-846F-7E8DE79C542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7B2-42BC-846F-7E8DE79C542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7B2-42BC-846F-7E8DE79C542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7B2-42BC-846F-7E8DE79C542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7B2-42BC-846F-7E8DE79C542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7B2-42BC-846F-7E8DE79C542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7B2-42BC-846F-7E8DE79C542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7B2-42BC-846F-7E8DE79C542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7B2-42BC-846F-7E8DE79C542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67B2-42BC-846F-7E8DE79C542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67B2-42BC-846F-7E8DE79C542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67B2-42BC-846F-7E8DE79C542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67B2-42BC-846F-7E8DE79C5427}"/>
              </c:ext>
            </c:extLst>
          </c:dPt>
          <c:cat>
            <c:strRef>
              <c:f>'Pernoctaciones evol mensu TF'!$B$119:$B$130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TF'!$N$119:$N$131</c:f>
              <c:numCache>
                <c:formatCode>0.0%</c:formatCode>
                <c:ptCount val="13"/>
                <c:pt idx="0">
                  <c:v>9.0173617861255329E-2</c:v>
                </c:pt>
                <c:pt idx="1">
                  <c:v>5.8531935176358463E-2</c:v>
                </c:pt>
                <c:pt idx="2">
                  <c:v>5.8303460914015615E-2</c:v>
                </c:pt>
                <c:pt idx="3">
                  <c:v>8.3589192508443322E-2</c:v>
                </c:pt>
                <c:pt idx="4">
                  <c:v>1.1935734785291086E-3</c:v>
                </c:pt>
                <c:pt idx="5">
                  <c:v>-1.4447911137578817E-2</c:v>
                </c:pt>
                <c:pt idx="6">
                  <c:v>4.9088175697757919E-2</c:v>
                </c:pt>
                <c:pt idx="7">
                  <c:v>6.7755250698069647E-2</c:v>
                </c:pt>
                <c:pt idx="8">
                  <c:v>7.51926084274257E-2</c:v>
                </c:pt>
                <c:pt idx="12">
                  <c:v>5.0784094091290921E-2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7B2-42BC-846F-7E8DE79C5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8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TF'!$I$139:$J$139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7CD-4A8F-BB44-3AC3A70AE3EA}"/>
              </c:ext>
            </c:extLst>
          </c:dPt>
          <c:val>
            <c:numRef>
              <c:f>'Pernoctaciones evol mensu TF'!$I$141:$I$153</c:f>
              <c:numCache>
                <c:formatCode>#,##0</c:formatCode>
                <c:ptCount val="13"/>
                <c:pt idx="0">
                  <c:v>13510</c:v>
                </c:pt>
                <c:pt idx="1">
                  <c:v>15201</c:v>
                </c:pt>
                <c:pt idx="2">
                  <c:v>17535</c:v>
                </c:pt>
                <c:pt idx="3">
                  <c:v>12234</c:v>
                </c:pt>
                <c:pt idx="4">
                  <c:v>12664</c:v>
                </c:pt>
                <c:pt idx="5">
                  <c:v>14038</c:v>
                </c:pt>
                <c:pt idx="6">
                  <c:v>13679</c:v>
                </c:pt>
                <c:pt idx="7">
                  <c:v>15009</c:v>
                </c:pt>
                <c:pt idx="8">
                  <c:v>12732</c:v>
                </c:pt>
                <c:pt idx="9">
                  <c:v>18958</c:v>
                </c:pt>
                <c:pt idx="10">
                  <c:v>19377</c:v>
                </c:pt>
                <c:pt idx="11">
                  <c:v>16292</c:v>
                </c:pt>
                <c:pt idx="12">
                  <c:v>181229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CD-4A8F-BB44-3AC3A70AE3EA}"/>
            </c:ext>
          </c:extLst>
        </c:ser>
        <c:ser>
          <c:idx val="0"/>
          <c:order val="2"/>
          <c:tx>
            <c:strRef>
              <c:f>'Pernoctaciones evol mensu TF'!$K$139:$L$139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7CD-4A8F-BB44-3AC3A70AE3EA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TF'!$K$141:$K$153</c:f>
              <c:numCache>
                <c:formatCode>#,##0</c:formatCode>
                <c:ptCount val="13"/>
                <c:pt idx="0">
                  <c:v>15426</c:v>
                </c:pt>
                <c:pt idx="1">
                  <c:v>18617</c:v>
                </c:pt>
                <c:pt idx="2">
                  <c:v>27146</c:v>
                </c:pt>
                <c:pt idx="3">
                  <c:v>15780</c:v>
                </c:pt>
                <c:pt idx="4">
                  <c:v>15299</c:v>
                </c:pt>
                <c:pt idx="5">
                  <c:v>12045</c:v>
                </c:pt>
                <c:pt idx="6">
                  <c:v>11369</c:v>
                </c:pt>
                <c:pt idx="7">
                  <c:v>11599</c:v>
                </c:pt>
                <c:pt idx="8">
                  <c:v>10309</c:v>
                </c:pt>
                <c:pt idx="9">
                  <c:v>17259</c:v>
                </c:pt>
                <c:pt idx="10">
                  <c:v>20409</c:v>
                </c:pt>
                <c:pt idx="11">
                  <c:v>15069</c:v>
                </c:pt>
                <c:pt idx="12">
                  <c:v>190327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7CD-4A8F-BB44-3AC3A70AE3EA}"/>
            </c:ext>
          </c:extLst>
        </c:ser>
        <c:ser>
          <c:idx val="1"/>
          <c:order val="3"/>
          <c:tx>
            <c:strRef>
              <c:f>'Pernoctaciones evol mensu TF'!$M$139:$N$139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7CD-4A8F-BB44-3AC3A70AE3E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7CD-4A8F-BB44-3AC3A70AE3EA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TF'!$M$141:$M$153</c:f>
              <c:numCache>
                <c:formatCode>#,##0</c:formatCode>
                <c:ptCount val="13"/>
                <c:pt idx="0">
                  <c:v>14398</c:v>
                </c:pt>
                <c:pt idx="1">
                  <c:v>15634</c:v>
                </c:pt>
                <c:pt idx="2">
                  <c:v>19555</c:v>
                </c:pt>
                <c:pt idx="3">
                  <c:v>16806</c:v>
                </c:pt>
                <c:pt idx="4">
                  <c:v>10398</c:v>
                </c:pt>
                <c:pt idx="5">
                  <c:v>14419</c:v>
                </c:pt>
                <c:pt idx="6">
                  <c:v>15851</c:v>
                </c:pt>
                <c:pt idx="7">
                  <c:v>14741</c:v>
                </c:pt>
                <c:pt idx="8">
                  <c:v>13426</c:v>
                </c:pt>
                <c:pt idx="12">
                  <c:v>135228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7CD-4A8F-BB44-3AC3A70AE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TF'!$C$139:$D$139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7CD-4A8F-BB44-3AC3A70AE3E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TF'!$C$141:$C$153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10425</c:v>
                      </c:pt>
                      <c:pt idx="1">
                        <c:v>8886</c:v>
                      </c:pt>
                      <c:pt idx="2">
                        <c:v>6218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6670</c:v>
                      </c:pt>
                      <c:pt idx="8">
                        <c:v>1355</c:v>
                      </c:pt>
                      <c:pt idx="9">
                        <c:v>926</c:v>
                      </c:pt>
                      <c:pt idx="10">
                        <c:v>4663</c:v>
                      </c:pt>
                      <c:pt idx="11">
                        <c:v>3478</c:v>
                      </c:pt>
                      <c:pt idx="12">
                        <c:v>45672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7CD-4A8F-BB44-3AC3A70AE3E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TF'!$N$140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7CD-4A8F-BB44-3AC3A70AE3E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7CD-4A8F-BB44-3AC3A70AE3E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7CD-4A8F-BB44-3AC3A70AE3E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7CD-4A8F-BB44-3AC3A70AE3E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7CD-4A8F-BB44-3AC3A70AE3E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7CD-4A8F-BB44-3AC3A70AE3E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7CD-4A8F-BB44-3AC3A70AE3E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7CD-4A8F-BB44-3AC3A70AE3E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7CD-4A8F-BB44-3AC3A70AE3E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7CD-4A8F-BB44-3AC3A70AE3E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7CD-4A8F-BB44-3AC3A70AE3E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7CD-4A8F-BB44-3AC3A70AE3E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7CD-4A8F-BB44-3AC3A70AE3EA}"/>
              </c:ext>
            </c:extLst>
          </c:dPt>
          <c:cat>
            <c:strRef>
              <c:f>'Pernoctaciones evol mensu TF'!$B$141:$B$152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TF'!$N$141:$N$153</c:f>
              <c:numCache>
                <c:formatCode>0.0%</c:formatCode>
                <c:ptCount val="13"/>
                <c:pt idx="0">
                  <c:v>-6.6640736419032787E-2</c:v>
                </c:pt>
                <c:pt idx="1">
                  <c:v>-0.16022989740559701</c:v>
                </c:pt>
                <c:pt idx="2">
                  <c:v>-0.27963604214248872</c:v>
                </c:pt>
                <c:pt idx="3">
                  <c:v>6.5019011406844074E-2</c:v>
                </c:pt>
                <c:pt idx="4">
                  <c:v>-0.32034773514608794</c:v>
                </c:pt>
                <c:pt idx="5">
                  <c:v>0.19709422997094239</c:v>
                </c:pt>
                <c:pt idx="6">
                  <c:v>0.39422992347611929</c:v>
                </c:pt>
                <c:pt idx="7">
                  <c:v>0.27088542115699621</c:v>
                </c:pt>
                <c:pt idx="8">
                  <c:v>0.30235716364341836</c:v>
                </c:pt>
                <c:pt idx="12">
                  <c:v>-1.716694527218543E-2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7CD-4A8F-BB44-3AC3A70AE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TF'!$I$161:$J$161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15B-4B02-B230-1E0872458260}"/>
              </c:ext>
            </c:extLst>
          </c:dPt>
          <c:val>
            <c:numRef>
              <c:f>'Pernoctaciones evol mensu TF'!$I$163:$I$175</c:f>
              <c:numCache>
                <c:formatCode>#,##0</c:formatCode>
                <c:ptCount val="13"/>
                <c:pt idx="0">
                  <c:v>11164</c:v>
                </c:pt>
                <c:pt idx="1">
                  <c:v>13725</c:v>
                </c:pt>
                <c:pt idx="2">
                  <c:v>12285</c:v>
                </c:pt>
                <c:pt idx="3">
                  <c:v>17559</c:v>
                </c:pt>
                <c:pt idx="4">
                  <c:v>15901</c:v>
                </c:pt>
                <c:pt idx="5">
                  <c:v>11816</c:v>
                </c:pt>
                <c:pt idx="6">
                  <c:v>13315</c:v>
                </c:pt>
                <c:pt idx="7">
                  <c:v>16431</c:v>
                </c:pt>
                <c:pt idx="8">
                  <c:v>13438</c:v>
                </c:pt>
                <c:pt idx="9">
                  <c:v>15664</c:v>
                </c:pt>
                <c:pt idx="10">
                  <c:v>10572</c:v>
                </c:pt>
                <c:pt idx="11">
                  <c:v>10446</c:v>
                </c:pt>
                <c:pt idx="12">
                  <c:v>162316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5B-4B02-B230-1E0872458260}"/>
            </c:ext>
          </c:extLst>
        </c:ser>
        <c:ser>
          <c:idx val="0"/>
          <c:order val="2"/>
          <c:tx>
            <c:strRef>
              <c:f>'Pernoctaciones evol mensu TF'!$K$161:$L$161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15B-4B02-B230-1E0872458260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TF'!$K$163:$K$175</c:f>
              <c:numCache>
                <c:formatCode>#,##0</c:formatCode>
                <c:ptCount val="13"/>
                <c:pt idx="0">
                  <c:v>11995</c:v>
                </c:pt>
                <c:pt idx="1">
                  <c:v>12570</c:v>
                </c:pt>
                <c:pt idx="2">
                  <c:v>17270</c:v>
                </c:pt>
                <c:pt idx="3">
                  <c:v>18946</c:v>
                </c:pt>
                <c:pt idx="4">
                  <c:v>17473</c:v>
                </c:pt>
                <c:pt idx="5">
                  <c:v>11749</c:v>
                </c:pt>
                <c:pt idx="6">
                  <c:v>14161</c:v>
                </c:pt>
                <c:pt idx="7">
                  <c:v>16901</c:v>
                </c:pt>
                <c:pt idx="8">
                  <c:v>10957</c:v>
                </c:pt>
                <c:pt idx="9">
                  <c:v>17244</c:v>
                </c:pt>
                <c:pt idx="10">
                  <c:v>7982</c:v>
                </c:pt>
                <c:pt idx="11">
                  <c:v>9423</c:v>
                </c:pt>
                <c:pt idx="12">
                  <c:v>166671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5B-4B02-B230-1E0872458260}"/>
            </c:ext>
          </c:extLst>
        </c:ser>
        <c:ser>
          <c:idx val="1"/>
          <c:order val="3"/>
          <c:tx>
            <c:strRef>
              <c:f>'Pernoctaciones evol mensu TF'!$M$161:$N$161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15B-4B02-B230-1E087245826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15B-4B02-B230-1E0872458260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TF'!$M$163:$M$175</c:f>
              <c:numCache>
                <c:formatCode>#,##0</c:formatCode>
                <c:ptCount val="13"/>
                <c:pt idx="0">
                  <c:v>11295</c:v>
                </c:pt>
                <c:pt idx="1">
                  <c:v>14802</c:v>
                </c:pt>
                <c:pt idx="2">
                  <c:v>13070</c:v>
                </c:pt>
                <c:pt idx="3">
                  <c:v>13583</c:v>
                </c:pt>
                <c:pt idx="4">
                  <c:v>12618</c:v>
                </c:pt>
                <c:pt idx="5">
                  <c:v>12238</c:v>
                </c:pt>
                <c:pt idx="6">
                  <c:v>15027</c:v>
                </c:pt>
                <c:pt idx="7">
                  <c:v>16604</c:v>
                </c:pt>
                <c:pt idx="8">
                  <c:v>12394</c:v>
                </c:pt>
                <c:pt idx="12">
                  <c:v>121631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15B-4B02-B230-1E0872458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TF'!$C$161:$D$161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15B-4B02-B230-1E087245826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TF'!$C$163:$C$175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7789</c:v>
                      </c:pt>
                      <c:pt idx="1">
                        <c:v>9927</c:v>
                      </c:pt>
                      <c:pt idx="2">
                        <c:v>5151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6745</c:v>
                      </c:pt>
                      <c:pt idx="8">
                        <c:v>2045</c:v>
                      </c:pt>
                      <c:pt idx="9">
                        <c:v>5235</c:v>
                      </c:pt>
                      <c:pt idx="10">
                        <c:v>480</c:v>
                      </c:pt>
                      <c:pt idx="11">
                        <c:v>3888</c:v>
                      </c:pt>
                      <c:pt idx="12">
                        <c:v>42455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15B-4B02-B230-1E087245826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TF'!$N$162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15B-4B02-B230-1E087245826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15B-4B02-B230-1E087245826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15B-4B02-B230-1E087245826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15B-4B02-B230-1E087245826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15B-4B02-B230-1E087245826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15B-4B02-B230-1E087245826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15B-4B02-B230-1E087245826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15B-4B02-B230-1E087245826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15B-4B02-B230-1E087245826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15B-4B02-B230-1E087245826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15B-4B02-B230-1E087245826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15B-4B02-B230-1E087245826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15B-4B02-B230-1E0872458260}"/>
              </c:ext>
            </c:extLst>
          </c:dPt>
          <c:cat>
            <c:strRef>
              <c:f>'Pernoctaciones evol mensu TF'!$B$163:$B$174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TF'!$N$163:$N$175</c:f>
              <c:numCache>
                <c:formatCode>0.0%</c:formatCode>
                <c:ptCount val="13"/>
                <c:pt idx="0">
                  <c:v>-5.8357649020425173E-2</c:v>
                </c:pt>
                <c:pt idx="1">
                  <c:v>0.17756563245823398</c:v>
                </c:pt>
                <c:pt idx="2">
                  <c:v>-0.24319629415170818</c:v>
                </c:pt>
                <c:pt idx="3">
                  <c:v>-0.28306766599809985</c:v>
                </c:pt>
                <c:pt idx="4">
                  <c:v>-0.27785726549533563</c:v>
                </c:pt>
                <c:pt idx="5">
                  <c:v>4.1620563452208659E-2</c:v>
                </c:pt>
                <c:pt idx="6">
                  <c:v>6.1153873314031548E-2</c:v>
                </c:pt>
                <c:pt idx="7">
                  <c:v>-1.7572924679013058E-2</c:v>
                </c:pt>
                <c:pt idx="8">
                  <c:v>0.13114903714520398</c:v>
                </c:pt>
                <c:pt idx="12">
                  <c:v>-7.870657920649593E-2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15B-4B02-B230-1E0872458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TF'!$I$183:$J$183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DE8-4A95-980A-CC189B2B9C3A}"/>
              </c:ext>
            </c:extLst>
          </c:dPt>
          <c:val>
            <c:numRef>
              <c:f>'Pernoctaciones evol mensu TF'!$I$185:$I$197</c:f>
              <c:numCache>
                <c:formatCode>#,##0</c:formatCode>
                <c:ptCount val="13"/>
                <c:pt idx="0">
                  <c:v>3157</c:v>
                </c:pt>
                <c:pt idx="1">
                  <c:v>3342</c:v>
                </c:pt>
                <c:pt idx="2">
                  <c:v>2951</c:v>
                </c:pt>
                <c:pt idx="3">
                  <c:v>2782</c:v>
                </c:pt>
                <c:pt idx="4">
                  <c:v>3918</c:v>
                </c:pt>
                <c:pt idx="5">
                  <c:v>2826</c:v>
                </c:pt>
                <c:pt idx="6">
                  <c:v>4579</c:v>
                </c:pt>
                <c:pt idx="7">
                  <c:v>3754</c:v>
                </c:pt>
                <c:pt idx="8">
                  <c:v>2600</c:v>
                </c:pt>
                <c:pt idx="9">
                  <c:v>3994</c:v>
                </c:pt>
                <c:pt idx="10">
                  <c:v>3416</c:v>
                </c:pt>
                <c:pt idx="11">
                  <c:v>3610</c:v>
                </c:pt>
                <c:pt idx="12">
                  <c:v>40929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E8-4A95-980A-CC189B2B9C3A}"/>
            </c:ext>
          </c:extLst>
        </c:ser>
        <c:ser>
          <c:idx val="0"/>
          <c:order val="2"/>
          <c:tx>
            <c:strRef>
              <c:f>'Pernoctaciones evol mensu TF'!$K$183:$L$183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DE8-4A95-980A-CC189B2B9C3A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TF'!$K$185:$K$197</c:f>
              <c:numCache>
                <c:formatCode>#,##0</c:formatCode>
                <c:ptCount val="13"/>
                <c:pt idx="0">
                  <c:v>3301</c:v>
                </c:pt>
                <c:pt idx="1">
                  <c:v>3536</c:v>
                </c:pt>
                <c:pt idx="2">
                  <c:v>4561</c:v>
                </c:pt>
                <c:pt idx="3">
                  <c:v>3507</c:v>
                </c:pt>
                <c:pt idx="4">
                  <c:v>4860</c:v>
                </c:pt>
                <c:pt idx="5">
                  <c:v>4328</c:v>
                </c:pt>
                <c:pt idx="6">
                  <c:v>4658</c:v>
                </c:pt>
                <c:pt idx="7">
                  <c:v>3150</c:v>
                </c:pt>
                <c:pt idx="8">
                  <c:v>1713</c:v>
                </c:pt>
                <c:pt idx="9">
                  <c:v>2226</c:v>
                </c:pt>
                <c:pt idx="10">
                  <c:v>2752</c:v>
                </c:pt>
                <c:pt idx="11">
                  <c:v>3325</c:v>
                </c:pt>
                <c:pt idx="12">
                  <c:v>41917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DE8-4A95-980A-CC189B2B9C3A}"/>
            </c:ext>
          </c:extLst>
        </c:ser>
        <c:ser>
          <c:idx val="1"/>
          <c:order val="3"/>
          <c:tx>
            <c:strRef>
              <c:f>'Pernoctaciones evol mensu TF'!$M$183:$N$183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DE8-4A95-980A-CC189B2B9C3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DE8-4A95-980A-CC189B2B9C3A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TF'!$M$185:$M$197</c:f>
              <c:numCache>
                <c:formatCode>#,##0</c:formatCode>
                <c:ptCount val="13"/>
                <c:pt idx="0">
                  <c:v>2559</c:v>
                </c:pt>
                <c:pt idx="1">
                  <c:v>2201</c:v>
                </c:pt>
                <c:pt idx="2">
                  <c:v>2940</c:v>
                </c:pt>
                <c:pt idx="3">
                  <c:v>3393</c:v>
                </c:pt>
                <c:pt idx="4">
                  <c:v>2524</c:v>
                </c:pt>
                <c:pt idx="5">
                  <c:v>2367</c:v>
                </c:pt>
                <c:pt idx="6">
                  <c:v>4292</c:v>
                </c:pt>
                <c:pt idx="7">
                  <c:v>2359</c:v>
                </c:pt>
                <c:pt idx="8">
                  <c:v>1481</c:v>
                </c:pt>
                <c:pt idx="12">
                  <c:v>24116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DE8-4A95-980A-CC189B2B9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TF'!$C$183:$D$183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DE8-4A95-980A-CC189B2B9C3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TF'!$C$185:$C$197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2917</c:v>
                      </c:pt>
                      <c:pt idx="1">
                        <c:v>2019</c:v>
                      </c:pt>
                      <c:pt idx="2">
                        <c:v>1630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2699</c:v>
                      </c:pt>
                      <c:pt idx="8">
                        <c:v>1017</c:v>
                      </c:pt>
                      <c:pt idx="9">
                        <c:v>641</c:v>
                      </c:pt>
                      <c:pt idx="10">
                        <c:v>395</c:v>
                      </c:pt>
                      <c:pt idx="11">
                        <c:v>659</c:v>
                      </c:pt>
                      <c:pt idx="12">
                        <c:v>12571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DE8-4A95-980A-CC189B2B9C3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TF'!$N$184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DE8-4A95-980A-CC189B2B9C3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DE8-4A95-980A-CC189B2B9C3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DE8-4A95-980A-CC189B2B9C3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DE8-4A95-980A-CC189B2B9C3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DE8-4A95-980A-CC189B2B9C3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DE8-4A95-980A-CC189B2B9C3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DE8-4A95-980A-CC189B2B9C3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DE8-4A95-980A-CC189B2B9C3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DE8-4A95-980A-CC189B2B9C3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DE8-4A95-980A-CC189B2B9C3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DE8-4A95-980A-CC189B2B9C3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DE8-4A95-980A-CC189B2B9C3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DE8-4A95-980A-CC189B2B9C3A}"/>
              </c:ext>
            </c:extLst>
          </c:dPt>
          <c:cat>
            <c:strRef>
              <c:f>'Pernoctaciones evol mensu TF'!$B$185:$B$196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TF'!$N$185:$N$197</c:f>
              <c:numCache>
                <c:formatCode>0.0%</c:formatCode>
                <c:ptCount val="13"/>
                <c:pt idx="0">
                  <c:v>-0.22478036958497427</c:v>
                </c:pt>
                <c:pt idx="1">
                  <c:v>-0.37754524886877827</c:v>
                </c:pt>
                <c:pt idx="2">
                  <c:v>-0.35540451655338745</c:v>
                </c:pt>
                <c:pt idx="3">
                  <c:v>-3.2506415739948724E-2</c:v>
                </c:pt>
                <c:pt idx="4">
                  <c:v>-0.48065843621399174</c:v>
                </c:pt>
                <c:pt idx="5">
                  <c:v>-0.45309611829944552</c:v>
                </c:pt>
                <c:pt idx="6">
                  <c:v>-7.8574495491627316E-2</c:v>
                </c:pt>
                <c:pt idx="7">
                  <c:v>-0.25111111111111106</c:v>
                </c:pt>
                <c:pt idx="8">
                  <c:v>-0.13543490951546988</c:v>
                </c:pt>
                <c:pt idx="12">
                  <c:v>-0.28256083774617724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DE8-4A95-980A-CC189B2B9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TF'!$I$205:$J$205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74-4E94-986F-24B9964C9F5E}"/>
              </c:ext>
            </c:extLst>
          </c:dPt>
          <c:val>
            <c:numRef>
              <c:f>'Pernoctaciones evol mensu TF'!$I$207:$I$219</c:f>
              <c:numCache>
                <c:formatCode>#,##0</c:formatCode>
                <c:ptCount val="13"/>
                <c:pt idx="0">
                  <c:v>5017</c:v>
                </c:pt>
                <c:pt idx="1">
                  <c:v>4633</c:v>
                </c:pt>
                <c:pt idx="2">
                  <c:v>4750</c:v>
                </c:pt>
                <c:pt idx="3">
                  <c:v>7114</c:v>
                </c:pt>
                <c:pt idx="4">
                  <c:v>5786</c:v>
                </c:pt>
                <c:pt idx="5">
                  <c:v>5430</c:v>
                </c:pt>
                <c:pt idx="6">
                  <c:v>8333</c:v>
                </c:pt>
                <c:pt idx="7">
                  <c:v>11019</c:v>
                </c:pt>
                <c:pt idx="8">
                  <c:v>7531</c:v>
                </c:pt>
                <c:pt idx="9">
                  <c:v>7404</c:v>
                </c:pt>
                <c:pt idx="10">
                  <c:v>5727</c:v>
                </c:pt>
                <c:pt idx="11">
                  <c:v>5808</c:v>
                </c:pt>
                <c:pt idx="12">
                  <c:v>78552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74-4E94-986F-24B9964C9F5E}"/>
            </c:ext>
          </c:extLst>
        </c:ser>
        <c:ser>
          <c:idx val="0"/>
          <c:order val="2"/>
          <c:tx>
            <c:strRef>
              <c:f>'Pernoctaciones evol mensu TF'!$K$205:$L$205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F74-4E94-986F-24B9964C9F5E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TF'!$K$207:$K$219</c:f>
              <c:numCache>
                <c:formatCode>#,##0</c:formatCode>
                <c:ptCount val="13"/>
                <c:pt idx="0">
                  <c:v>5560</c:v>
                </c:pt>
                <c:pt idx="1">
                  <c:v>6436</c:v>
                </c:pt>
                <c:pt idx="2">
                  <c:v>4950</c:v>
                </c:pt>
                <c:pt idx="3">
                  <c:v>4758</c:v>
                </c:pt>
                <c:pt idx="4">
                  <c:v>5717</c:v>
                </c:pt>
                <c:pt idx="5">
                  <c:v>5221</c:v>
                </c:pt>
                <c:pt idx="6">
                  <c:v>5284</c:v>
                </c:pt>
                <c:pt idx="7">
                  <c:v>4873</c:v>
                </c:pt>
                <c:pt idx="8">
                  <c:v>3763</c:v>
                </c:pt>
                <c:pt idx="9">
                  <c:v>5114</c:v>
                </c:pt>
                <c:pt idx="10">
                  <c:v>3398</c:v>
                </c:pt>
                <c:pt idx="11">
                  <c:v>3856</c:v>
                </c:pt>
                <c:pt idx="12">
                  <c:v>58930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F74-4E94-986F-24B9964C9F5E}"/>
            </c:ext>
          </c:extLst>
        </c:ser>
        <c:ser>
          <c:idx val="1"/>
          <c:order val="3"/>
          <c:tx>
            <c:strRef>
              <c:f>'Pernoctaciones evol mensu TF'!$M$205:$N$205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F74-4E94-986F-24B9964C9F5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F74-4E94-986F-24B9964C9F5E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TF'!$M$207:$M$219</c:f>
              <c:numCache>
                <c:formatCode>#,##0</c:formatCode>
                <c:ptCount val="13"/>
                <c:pt idx="0">
                  <c:v>4517</c:v>
                </c:pt>
                <c:pt idx="1">
                  <c:v>4373</c:v>
                </c:pt>
                <c:pt idx="2">
                  <c:v>4108</c:v>
                </c:pt>
                <c:pt idx="3">
                  <c:v>4247</c:v>
                </c:pt>
                <c:pt idx="4">
                  <c:v>3153</c:v>
                </c:pt>
                <c:pt idx="5">
                  <c:v>3653</c:v>
                </c:pt>
                <c:pt idx="6">
                  <c:v>5938</c:v>
                </c:pt>
                <c:pt idx="7">
                  <c:v>5372</c:v>
                </c:pt>
                <c:pt idx="8">
                  <c:v>4657</c:v>
                </c:pt>
                <c:pt idx="12">
                  <c:v>40018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F74-4E94-986F-24B9964C9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TF'!$C$205:$D$205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F74-4E94-986F-24B9964C9F5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TF'!$C$207:$C$219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2259</c:v>
                      </c:pt>
                      <c:pt idx="1">
                        <c:v>1854</c:v>
                      </c:pt>
                      <c:pt idx="2">
                        <c:v>1287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1357</c:v>
                      </c:pt>
                      <c:pt idx="8">
                        <c:v>57</c:v>
                      </c:pt>
                      <c:pt idx="9">
                        <c:v>87</c:v>
                      </c:pt>
                      <c:pt idx="10">
                        <c:v>659</c:v>
                      </c:pt>
                      <c:pt idx="11">
                        <c:v>515</c:v>
                      </c:pt>
                      <c:pt idx="12">
                        <c:v>8958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F74-4E94-986F-24B9964C9F5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TF'!$N$206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F74-4E94-986F-24B9964C9F5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F74-4E94-986F-24B9964C9F5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F74-4E94-986F-24B9964C9F5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F74-4E94-986F-24B9964C9F5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F74-4E94-986F-24B9964C9F5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F74-4E94-986F-24B9964C9F5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F74-4E94-986F-24B9964C9F5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F74-4E94-986F-24B9964C9F5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F74-4E94-986F-24B9964C9F5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F74-4E94-986F-24B9964C9F5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F74-4E94-986F-24B9964C9F5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F74-4E94-986F-24B9964C9F5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F74-4E94-986F-24B9964C9F5E}"/>
              </c:ext>
            </c:extLst>
          </c:dPt>
          <c:cat>
            <c:strRef>
              <c:f>'Pernoctaciones evol mensu TF'!$B$207:$B$218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TF'!$N$207:$N$219</c:f>
              <c:numCache>
                <c:formatCode>0.0%</c:formatCode>
                <c:ptCount val="13"/>
                <c:pt idx="0">
                  <c:v>-0.18758992805755392</c:v>
                </c:pt>
                <c:pt idx="1">
                  <c:v>-0.32054070851460537</c:v>
                </c:pt>
                <c:pt idx="2">
                  <c:v>-0.17010101010101009</c:v>
                </c:pt>
                <c:pt idx="3">
                  <c:v>-0.10739806641445981</c:v>
                </c:pt>
                <c:pt idx="4">
                  <c:v>-0.44848696868987226</c:v>
                </c:pt>
                <c:pt idx="5">
                  <c:v>-0.30032560812104958</c:v>
                </c:pt>
                <c:pt idx="6">
                  <c:v>0.12376987130961403</c:v>
                </c:pt>
                <c:pt idx="7">
                  <c:v>0.10240098501949513</c:v>
                </c:pt>
                <c:pt idx="8">
                  <c:v>0.23757640180706874</c:v>
                </c:pt>
                <c:pt idx="12">
                  <c:v>-0.14054379107426662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F74-4E94-986F-24B9964C9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TF'!$I$227:$J$227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037-4109-B58F-E8F040CEA230}"/>
              </c:ext>
            </c:extLst>
          </c:dPt>
          <c:val>
            <c:numRef>
              <c:f>'Pernoctaciones evol mensu TF'!$I$229:$I$241</c:f>
              <c:numCache>
                <c:formatCode>#,##0</c:formatCode>
                <c:ptCount val="13"/>
                <c:pt idx="0">
                  <c:v>6826</c:v>
                </c:pt>
                <c:pt idx="1">
                  <c:v>5937</c:v>
                </c:pt>
                <c:pt idx="2">
                  <c:v>3783</c:v>
                </c:pt>
                <c:pt idx="3">
                  <c:v>1857</c:v>
                </c:pt>
                <c:pt idx="4">
                  <c:v>46</c:v>
                </c:pt>
                <c:pt idx="5">
                  <c:v>6</c:v>
                </c:pt>
                <c:pt idx="6">
                  <c:v>35</c:v>
                </c:pt>
                <c:pt idx="7">
                  <c:v>110</c:v>
                </c:pt>
                <c:pt idx="8">
                  <c:v>46</c:v>
                </c:pt>
                <c:pt idx="9">
                  <c:v>545</c:v>
                </c:pt>
                <c:pt idx="10">
                  <c:v>4889</c:v>
                </c:pt>
                <c:pt idx="11">
                  <c:v>4075</c:v>
                </c:pt>
                <c:pt idx="12">
                  <c:v>28155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37-4109-B58F-E8F040CEA230}"/>
            </c:ext>
          </c:extLst>
        </c:ser>
        <c:ser>
          <c:idx val="0"/>
          <c:order val="2"/>
          <c:tx>
            <c:strRef>
              <c:f>'Pernoctaciones evol mensu TF'!$K$227:$L$227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037-4109-B58F-E8F040CEA230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TF'!$K$229:$K$241</c:f>
              <c:numCache>
                <c:formatCode>#,##0</c:formatCode>
                <c:ptCount val="13"/>
                <c:pt idx="0">
                  <c:v>5393</c:v>
                </c:pt>
                <c:pt idx="1">
                  <c:v>5083</c:v>
                </c:pt>
                <c:pt idx="2">
                  <c:v>4024</c:v>
                </c:pt>
                <c:pt idx="3">
                  <c:v>1498</c:v>
                </c:pt>
                <c:pt idx="4">
                  <c:v>193</c:v>
                </c:pt>
                <c:pt idx="5">
                  <c:v>28</c:v>
                </c:pt>
                <c:pt idx="6">
                  <c:v>144</c:v>
                </c:pt>
                <c:pt idx="7">
                  <c:v>161</c:v>
                </c:pt>
                <c:pt idx="8">
                  <c:v>94</c:v>
                </c:pt>
                <c:pt idx="9">
                  <c:v>1114</c:v>
                </c:pt>
                <c:pt idx="10">
                  <c:v>3947</c:v>
                </c:pt>
                <c:pt idx="11">
                  <c:v>4912</c:v>
                </c:pt>
                <c:pt idx="12">
                  <c:v>26591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037-4109-B58F-E8F040CEA230}"/>
            </c:ext>
          </c:extLst>
        </c:ser>
        <c:ser>
          <c:idx val="1"/>
          <c:order val="3"/>
          <c:tx>
            <c:strRef>
              <c:f>'Pernoctaciones evol mensu TF'!$M$227:$N$227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037-4109-B58F-E8F040CEA23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037-4109-B58F-E8F040CEA230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TF'!$M$229:$M$241</c:f>
              <c:numCache>
                <c:formatCode>#,##0</c:formatCode>
                <c:ptCount val="13"/>
                <c:pt idx="0">
                  <c:v>5194</c:v>
                </c:pt>
                <c:pt idx="1">
                  <c:v>4547</c:v>
                </c:pt>
                <c:pt idx="2">
                  <c:v>5135</c:v>
                </c:pt>
                <c:pt idx="3">
                  <c:v>2670</c:v>
                </c:pt>
                <c:pt idx="4">
                  <c:v>122</c:v>
                </c:pt>
                <c:pt idx="5">
                  <c:v>136</c:v>
                </c:pt>
                <c:pt idx="6">
                  <c:v>513</c:v>
                </c:pt>
                <c:pt idx="7">
                  <c:v>114</c:v>
                </c:pt>
                <c:pt idx="8">
                  <c:v>167</c:v>
                </c:pt>
                <c:pt idx="12">
                  <c:v>18598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037-4109-B58F-E8F040CEA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TF'!$C$227:$D$227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037-4109-B58F-E8F040CEA23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TF'!$C$229:$C$241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4664</c:v>
                      </c:pt>
                      <c:pt idx="1">
                        <c:v>7381</c:v>
                      </c:pt>
                      <c:pt idx="2">
                        <c:v>3235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9</c:v>
                      </c:pt>
                      <c:pt idx="8">
                        <c:v>6</c:v>
                      </c:pt>
                      <c:pt idx="9">
                        <c:v>3</c:v>
                      </c:pt>
                      <c:pt idx="10">
                        <c:v>11</c:v>
                      </c:pt>
                      <c:pt idx="11">
                        <c:v>51</c:v>
                      </c:pt>
                      <c:pt idx="12">
                        <c:v>15372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037-4109-B58F-E8F040CEA23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TF'!$N$228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037-4109-B58F-E8F040CEA23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037-4109-B58F-E8F040CEA23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037-4109-B58F-E8F040CEA23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037-4109-B58F-E8F040CEA23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037-4109-B58F-E8F040CEA23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037-4109-B58F-E8F040CEA23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037-4109-B58F-E8F040CEA23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037-4109-B58F-E8F040CEA23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037-4109-B58F-E8F040CEA23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037-4109-B58F-E8F040CEA23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037-4109-B58F-E8F040CEA23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037-4109-B58F-E8F040CEA23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037-4109-B58F-E8F040CEA230}"/>
              </c:ext>
            </c:extLst>
          </c:dPt>
          <c:cat>
            <c:strRef>
              <c:f>'Pernoctaciones evol mensu TF'!$B$229:$B$240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TF'!$N$229:$N$241</c:f>
              <c:numCache>
                <c:formatCode>0.0%</c:formatCode>
                <c:ptCount val="13"/>
                <c:pt idx="0">
                  <c:v>-3.6899684776562247E-2</c:v>
                </c:pt>
                <c:pt idx="1">
                  <c:v>-0.10544953767460163</c:v>
                </c:pt>
                <c:pt idx="2">
                  <c:v>0.27609343936381703</c:v>
                </c:pt>
                <c:pt idx="3">
                  <c:v>0.78237650200267028</c:v>
                </c:pt>
                <c:pt idx="4">
                  <c:v>-0.36787564766839376</c:v>
                </c:pt>
                <c:pt idx="5">
                  <c:v>3.8571428571428568</c:v>
                </c:pt>
                <c:pt idx="6">
                  <c:v>2.5625</c:v>
                </c:pt>
                <c:pt idx="7">
                  <c:v>-0.29192546583850931</c:v>
                </c:pt>
                <c:pt idx="8">
                  <c:v>0.77659574468085113</c:v>
                </c:pt>
                <c:pt idx="12">
                  <c:v>0.11914791190275609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037-4109-B58F-E8F040CEA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B02-415A-A3DF-3A3AF0792C18}"/>
              </c:ext>
            </c:extLst>
          </c:dPt>
          <c:val>
            <c:numRef>
              <c:f>'Viajeros entr evol mensu TF'!$I$75:$I$87</c:f>
              <c:numCache>
                <c:formatCode>#,##0</c:formatCode>
                <c:ptCount val="13"/>
                <c:pt idx="0">
                  <c:v>927</c:v>
                </c:pt>
                <c:pt idx="1">
                  <c:v>637</c:v>
                </c:pt>
                <c:pt idx="2">
                  <c:v>1036</c:v>
                </c:pt>
                <c:pt idx="3">
                  <c:v>3146</c:v>
                </c:pt>
                <c:pt idx="4">
                  <c:v>1623</c:v>
                </c:pt>
                <c:pt idx="5">
                  <c:v>2218</c:v>
                </c:pt>
                <c:pt idx="6">
                  <c:v>2798</c:v>
                </c:pt>
                <c:pt idx="7">
                  <c:v>2724</c:v>
                </c:pt>
                <c:pt idx="8">
                  <c:v>2355</c:v>
                </c:pt>
                <c:pt idx="9">
                  <c:v>1689</c:v>
                </c:pt>
                <c:pt idx="10">
                  <c:v>679</c:v>
                </c:pt>
                <c:pt idx="11">
                  <c:v>906</c:v>
                </c:pt>
                <c:pt idx="12">
                  <c:v>20738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02-415A-A3DF-3A3AF0792C18}"/>
            </c:ext>
          </c:extLst>
        </c:ser>
        <c:ser>
          <c:idx val="0"/>
          <c:order val="2"/>
          <c:tx>
            <c:strRef>
              <c:f>'Viajeros entr evol mensu TF'!$K$73:$L$73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B02-415A-A3DF-3A3AF0792C18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TF'!$K$75:$K$87</c:f>
              <c:numCache>
                <c:formatCode>#,##0</c:formatCode>
                <c:ptCount val="13"/>
                <c:pt idx="0">
                  <c:v>571</c:v>
                </c:pt>
                <c:pt idx="1">
                  <c:v>870</c:v>
                </c:pt>
                <c:pt idx="2">
                  <c:v>1527</c:v>
                </c:pt>
                <c:pt idx="3">
                  <c:v>820</c:v>
                </c:pt>
                <c:pt idx="4">
                  <c:v>1464</c:v>
                </c:pt>
                <c:pt idx="5">
                  <c:v>1876</c:v>
                </c:pt>
                <c:pt idx="6">
                  <c:v>2896</c:v>
                </c:pt>
                <c:pt idx="7">
                  <c:v>3290</c:v>
                </c:pt>
                <c:pt idx="8">
                  <c:v>1691</c:v>
                </c:pt>
                <c:pt idx="9">
                  <c:v>2557</c:v>
                </c:pt>
                <c:pt idx="10">
                  <c:v>367</c:v>
                </c:pt>
                <c:pt idx="11">
                  <c:v>447</c:v>
                </c:pt>
                <c:pt idx="12">
                  <c:v>18376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B02-415A-A3DF-3A3AF0792C18}"/>
            </c:ext>
          </c:extLst>
        </c:ser>
        <c:ser>
          <c:idx val="1"/>
          <c:order val="3"/>
          <c:tx>
            <c:strRef>
              <c:f>'Viajeros entr evol mensu TF'!$M$73:$N$73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B02-415A-A3DF-3A3AF0792C1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B02-415A-A3DF-3A3AF0792C18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TF'!$M$75:$M$87</c:f>
              <c:numCache>
                <c:formatCode>#,##0</c:formatCode>
                <c:ptCount val="13"/>
                <c:pt idx="0">
                  <c:v>248</c:v>
                </c:pt>
                <c:pt idx="1">
                  <c:v>270</c:v>
                </c:pt>
                <c:pt idx="2">
                  <c:v>325</c:v>
                </c:pt>
                <c:pt idx="3">
                  <c:v>1127</c:v>
                </c:pt>
                <c:pt idx="4">
                  <c:v>1032</c:v>
                </c:pt>
                <c:pt idx="5">
                  <c:v>1679</c:v>
                </c:pt>
                <c:pt idx="6">
                  <c:v>4560</c:v>
                </c:pt>
                <c:pt idx="7">
                  <c:v>3389</c:v>
                </c:pt>
                <c:pt idx="8">
                  <c:v>3661</c:v>
                </c:pt>
                <c:pt idx="12">
                  <c:v>16291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B02-415A-A3DF-3A3AF0792C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B02-415A-A3DF-3A3AF0792C1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495</c:v>
                      </c:pt>
                      <c:pt idx="1">
                        <c:v>917</c:v>
                      </c:pt>
                      <c:pt idx="2">
                        <c:v>351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5921</c:v>
                      </c:pt>
                      <c:pt idx="8">
                        <c:v>2381</c:v>
                      </c:pt>
                      <c:pt idx="9">
                        <c:v>3254</c:v>
                      </c:pt>
                      <c:pt idx="10">
                        <c:v>1323</c:v>
                      </c:pt>
                      <c:pt idx="11">
                        <c:v>1567</c:v>
                      </c:pt>
                      <c:pt idx="12">
                        <c:v>20058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B02-415A-A3DF-3A3AF0792C1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B02-415A-A3DF-3A3AF0792C1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B02-415A-A3DF-3A3AF0792C1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B02-415A-A3DF-3A3AF0792C1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B02-415A-A3DF-3A3AF0792C1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B02-415A-A3DF-3A3AF0792C1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B02-415A-A3DF-3A3AF0792C1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B02-415A-A3DF-3A3AF0792C1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B02-415A-A3DF-3A3AF0792C1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B02-415A-A3DF-3A3AF0792C1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B02-415A-A3DF-3A3AF0792C1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B02-415A-A3DF-3A3AF0792C1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B02-415A-A3DF-3A3AF0792C1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B02-415A-A3DF-3A3AF0792C18}"/>
              </c:ext>
            </c:extLst>
          </c:dPt>
          <c:cat>
            <c:strRef>
              <c:f>'Viajeros entr evol mensu TF'!$B$75:$B$86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TF'!$N$75:$N$87</c:f>
              <c:numCache>
                <c:formatCode>0.0%</c:formatCode>
                <c:ptCount val="13"/>
                <c:pt idx="0">
                  <c:v>-0.56567425569176888</c:v>
                </c:pt>
                <c:pt idx="1">
                  <c:v>-0.68965517241379315</c:v>
                </c:pt>
                <c:pt idx="2">
                  <c:v>-0.78716437459070066</c:v>
                </c:pt>
                <c:pt idx="3">
                  <c:v>0.37439024390243913</c:v>
                </c:pt>
                <c:pt idx="4">
                  <c:v>-0.29508196721311475</c:v>
                </c:pt>
                <c:pt idx="5">
                  <c:v>-0.10501066098081024</c:v>
                </c:pt>
                <c:pt idx="6">
                  <c:v>0.57458563535911611</c:v>
                </c:pt>
                <c:pt idx="7">
                  <c:v>3.0091185410334287E-2</c:v>
                </c:pt>
                <c:pt idx="8">
                  <c:v>1.1649911295091662</c:v>
                </c:pt>
                <c:pt idx="12">
                  <c:v>8.5704765078307155E-2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B02-415A-A3DF-3A3AF0792C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TF'!$I$253:$J$253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1A5-42F1-B660-FC5C1C3D0B86}"/>
              </c:ext>
            </c:extLst>
          </c:dPt>
          <c:val>
            <c:numRef>
              <c:f>'Pernoctaciones evol mensu TF'!$I$255:$I$267</c:f>
              <c:numCache>
                <c:formatCode>#,##0</c:formatCode>
                <c:ptCount val="13"/>
                <c:pt idx="0">
                  <c:v>4002</c:v>
                </c:pt>
                <c:pt idx="1">
                  <c:v>3629</c:v>
                </c:pt>
                <c:pt idx="2">
                  <c:v>2337</c:v>
                </c:pt>
                <c:pt idx="3">
                  <c:v>2417</c:v>
                </c:pt>
                <c:pt idx="4">
                  <c:v>133</c:v>
                </c:pt>
                <c:pt idx="5">
                  <c:v>42</c:v>
                </c:pt>
                <c:pt idx="6">
                  <c:v>112</c:v>
                </c:pt>
                <c:pt idx="7">
                  <c:v>188</c:v>
                </c:pt>
                <c:pt idx="8">
                  <c:v>53</c:v>
                </c:pt>
                <c:pt idx="9">
                  <c:v>560</c:v>
                </c:pt>
                <c:pt idx="10">
                  <c:v>3991</c:v>
                </c:pt>
                <c:pt idx="11">
                  <c:v>3911</c:v>
                </c:pt>
                <c:pt idx="12">
                  <c:v>21375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A5-42F1-B660-FC5C1C3D0B86}"/>
            </c:ext>
          </c:extLst>
        </c:ser>
        <c:ser>
          <c:idx val="0"/>
          <c:order val="2"/>
          <c:tx>
            <c:strRef>
              <c:f>'Pernoctaciones evol mensu TF'!$K$253:$L$253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1A5-42F1-B660-FC5C1C3D0B86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TF'!$K$255:$K$267</c:f>
              <c:numCache>
                <c:formatCode>#,##0</c:formatCode>
                <c:ptCount val="13"/>
                <c:pt idx="0">
                  <c:v>3362</c:v>
                </c:pt>
                <c:pt idx="1">
                  <c:v>3238</c:v>
                </c:pt>
                <c:pt idx="2">
                  <c:v>2853</c:v>
                </c:pt>
                <c:pt idx="3">
                  <c:v>920</c:v>
                </c:pt>
                <c:pt idx="4">
                  <c:v>71</c:v>
                </c:pt>
                <c:pt idx="5">
                  <c:v>24</c:v>
                </c:pt>
                <c:pt idx="6">
                  <c:v>146</c:v>
                </c:pt>
                <c:pt idx="7">
                  <c:v>3</c:v>
                </c:pt>
                <c:pt idx="8">
                  <c:v>102</c:v>
                </c:pt>
                <c:pt idx="9">
                  <c:v>1129</c:v>
                </c:pt>
                <c:pt idx="10">
                  <c:v>3568</c:v>
                </c:pt>
                <c:pt idx="11">
                  <c:v>3681</c:v>
                </c:pt>
                <c:pt idx="12">
                  <c:v>19097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1A5-42F1-B660-FC5C1C3D0B86}"/>
            </c:ext>
          </c:extLst>
        </c:ser>
        <c:ser>
          <c:idx val="1"/>
          <c:order val="3"/>
          <c:tx>
            <c:strRef>
              <c:f>'Pernoctaciones evol mensu TF'!$M$253:$N$253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1A5-42F1-B660-FC5C1C3D0B8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1A5-42F1-B660-FC5C1C3D0B86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TF'!$M$255:$M$267</c:f>
              <c:numCache>
                <c:formatCode>#,##0</c:formatCode>
                <c:ptCount val="13"/>
                <c:pt idx="0">
                  <c:v>2656</c:v>
                </c:pt>
                <c:pt idx="1">
                  <c:v>2572</c:v>
                </c:pt>
                <c:pt idx="2">
                  <c:v>2401</c:v>
                </c:pt>
                <c:pt idx="3">
                  <c:v>897</c:v>
                </c:pt>
                <c:pt idx="4">
                  <c:v>79</c:v>
                </c:pt>
                <c:pt idx="5">
                  <c:v>166</c:v>
                </c:pt>
                <c:pt idx="6">
                  <c:v>161</c:v>
                </c:pt>
                <c:pt idx="7">
                  <c:v>76</c:v>
                </c:pt>
                <c:pt idx="8">
                  <c:v>26</c:v>
                </c:pt>
                <c:pt idx="12">
                  <c:v>9034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1A5-42F1-B660-FC5C1C3D0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TF'!$C$253:$D$253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1A5-42F1-B660-FC5C1C3D0B8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TF'!$C$255:$C$267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9860</c:v>
                      </c:pt>
                      <c:pt idx="1">
                        <c:v>14874</c:v>
                      </c:pt>
                      <c:pt idx="2">
                        <c:v>4046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17</c:v>
                      </c:pt>
                      <c:pt idx="8">
                        <c:v>0</c:v>
                      </c:pt>
                      <c:pt idx="9">
                        <c:v>331</c:v>
                      </c:pt>
                      <c:pt idx="10">
                        <c:v>300</c:v>
                      </c:pt>
                      <c:pt idx="11">
                        <c:v>55</c:v>
                      </c:pt>
                      <c:pt idx="12">
                        <c:v>29519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1A5-42F1-B660-FC5C1C3D0B8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TF'!$N$254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1A5-42F1-B660-FC5C1C3D0B8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1A5-42F1-B660-FC5C1C3D0B8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1A5-42F1-B660-FC5C1C3D0B8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1A5-42F1-B660-FC5C1C3D0B8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1A5-42F1-B660-FC5C1C3D0B8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1A5-42F1-B660-FC5C1C3D0B8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1A5-42F1-B660-FC5C1C3D0B8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1A5-42F1-B660-FC5C1C3D0B8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1A5-42F1-B660-FC5C1C3D0B8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1A5-42F1-B660-FC5C1C3D0B8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1A5-42F1-B660-FC5C1C3D0B8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1A5-42F1-B660-FC5C1C3D0B8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1A5-42F1-B660-FC5C1C3D0B86}"/>
              </c:ext>
            </c:extLst>
          </c:dPt>
          <c:cat>
            <c:strRef>
              <c:f>'Pernoctaciones evol mensu TF'!$B$255:$B$266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TF'!$N$255:$N$267</c:f>
              <c:numCache>
                <c:formatCode>0.0%</c:formatCode>
                <c:ptCount val="13"/>
                <c:pt idx="0">
                  <c:v>-0.20999405116002379</c:v>
                </c:pt>
                <c:pt idx="1">
                  <c:v>-0.2056825200741198</c:v>
                </c:pt>
                <c:pt idx="2">
                  <c:v>-0.15842972309849279</c:v>
                </c:pt>
                <c:pt idx="3">
                  <c:v>-2.5000000000000022E-2</c:v>
                </c:pt>
                <c:pt idx="4">
                  <c:v>0.11267605633802824</c:v>
                </c:pt>
                <c:pt idx="5">
                  <c:v>5.916666666666667</c:v>
                </c:pt>
                <c:pt idx="6">
                  <c:v>0.10273972602739723</c:v>
                </c:pt>
                <c:pt idx="7">
                  <c:v>24.333333333333332</c:v>
                </c:pt>
                <c:pt idx="8">
                  <c:v>-0.74509803921568629</c:v>
                </c:pt>
                <c:pt idx="12">
                  <c:v>-0.15719749976676933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1A5-42F1-B660-FC5C1C3D0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3E3-44F9-A97E-4834DEB39EEC}"/>
              </c:ext>
            </c:extLst>
          </c:dPt>
          <c:val>
            <c:numRef>
              <c:f>'Pernocta evol mensu TF cat'!$I$9:$I$21</c:f>
              <c:numCache>
                <c:formatCode>#,##0</c:formatCode>
                <c:ptCount val="13"/>
                <c:pt idx="0">
                  <c:v>163920</c:v>
                </c:pt>
                <c:pt idx="1">
                  <c:v>156374</c:v>
                </c:pt>
                <c:pt idx="2">
                  <c:v>146134</c:v>
                </c:pt>
                <c:pt idx="3">
                  <c:v>144835</c:v>
                </c:pt>
                <c:pt idx="4">
                  <c:v>140451</c:v>
                </c:pt>
                <c:pt idx="5">
                  <c:v>142289</c:v>
                </c:pt>
                <c:pt idx="6">
                  <c:v>166431</c:v>
                </c:pt>
                <c:pt idx="7">
                  <c:v>181874</c:v>
                </c:pt>
                <c:pt idx="8">
                  <c:v>150809</c:v>
                </c:pt>
                <c:pt idx="9">
                  <c:v>170708</c:v>
                </c:pt>
                <c:pt idx="10">
                  <c:v>164389</c:v>
                </c:pt>
                <c:pt idx="11">
                  <c:v>158524</c:v>
                </c:pt>
                <c:pt idx="12">
                  <c:v>1886738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E3-44F9-A97E-4834DEB39EEC}"/>
            </c:ext>
          </c:extLst>
        </c:ser>
        <c:ser>
          <c:idx val="0"/>
          <c:order val="2"/>
          <c:tx>
            <c:strRef>
              <c:f>'Pernocta evol mensu TF cat'!$K$7:$L$7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3E3-44F9-A97E-4834DEB39EEC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cat'!$K$9:$K$21</c:f>
              <c:numCache>
                <c:formatCode>#,##0</c:formatCode>
                <c:ptCount val="13"/>
                <c:pt idx="0">
                  <c:v>173408</c:v>
                </c:pt>
                <c:pt idx="1">
                  <c:v>166759</c:v>
                </c:pt>
                <c:pt idx="2">
                  <c:v>176870</c:v>
                </c:pt>
                <c:pt idx="3">
                  <c:v>154662</c:v>
                </c:pt>
                <c:pt idx="4">
                  <c:v>159924</c:v>
                </c:pt>
                <c:pt idx="5">
                  <c:v>157113</c:v>
                </c:pt>
                <c:pt idx="6">
                  <c:v>173767</c:v>
                </c:pt>
                <c:pt idx="7">
                  <c:v>179514</c:v>
                </c:pt>
                <c:pt idx="8">
                  <c:v>145872</c:v>
                </c:pt>
                <c:pt idx="9">
                  <c:v>177711</c:v>
                </c:pt>
                <c:pt idx="10">
                  <c:v>162641</c:v>
                </c:pt>
                <c:pt idx="11">
                  <c:v>160539</c:v>
                </c:pt>
                <c:pt idx="12">
                  <c:v>1988780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3E3-44F9-A97E-4834DEB39EEC}"/>
            </c:ext>
          </c:extLst>
        </c:ser>
        <c:ser>
          <c:idx val="1"/>
          <c:order val="3"/>
          <c:tx>
            <c:strRef>
              <c:f>'Pernocta evol mensu TF cat'!$M$7:$N$7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3E3-44F9-A97E-4834DEB39EE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3E3-44F9-A97E-4834DEB39EEC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cat'!$M$9:$M$21</c:f>
              <c:numCache>
                <c:formatCode>#,##0</c:formatCode>
                <c:ptCount val="13"/>
                <c:pt idx="0">
                  <c:v>169944</c:v>
                </c:pt>
                <c:pt idx="1">
                  <c:v>168166</c:v>
                </c:pt>
                <c:pt idx="2">
                  <c:v>166403</c:v>
                </c:pt>
                <c:pt idx="3">
                  <c:v>160144</c:v>
                </c:pt>
                <c:pt idx="4">
                  <c:v>143215</c:v>
                </c:pt>
                <c:pt idx="5">
                  <c:v>156124</c:v>
                </c:pt>
                <c:pt idx="6">
                  <c:v>187387</c:v>
                </c:pt>
                <c:pt idx="7">
                  <c:v>189132</c:v>
                </c:pt>
                <c:pt idx="8">
                  <c:v>164231</c:v>
                </c:pt>
                <c:pt idx="12">
                  <c:v>1504746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3E3-44F9-A97E-4834DEB39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3E3-44F9-A97E-4834DEB39EE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157800</c:v>
                      </c:pt>
                      <c:pt idx="1">
                        <c:v>172884</c:v>
                      </c:pt>
                      <c:pt idx="2">
                        <c:v>82007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60513</c:v>
                      </c:pt>
                      <c:pt idx="8">
                        <c:v>22909</c:v>
                      </c:pt>
                      <c:pt idx="9">
                        <c:v>24343</c:v>
                      </c:pt>
                      <c:pt idx="10">
                        <c:v>30656</c:v>
                      </c:pt>
                      <c:pt idx="11">
                        <c:v>33192</c:v>
                      </c:pt>
                      <c:pt idx="12">
                        <c:v>610766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3E3-44F9-A97E-4834DEB39EE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3E3-44F9-A97E-4834DEB39EE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3E3-44F9-A97E-4834DEB39EE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3E3-44F9-A97E-4834DEB39EE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3E3-44F9-A97E-4834DEB39EE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3E3-44F9-A97E-4834DEB39EE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3E3-44F9-A97E-4834DEB39EE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3E3-44F9-A97E-4834DEB39EE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3E3-44F9-A97E-4834DEB39EE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3E3-44F9-A97E-4834DEB39EE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3E3-44F9-A97E-4834DEB39EE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3E3-44F9-A97E-4834DEB39EE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3E3-44F9-A97E-4834DEB39EE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3E3-44F9-A97E-4834DEB39EEC}"/>
              </c:ext>
            </c:extLst>
          </c:dPt>
          <c:cat>
            <c:strRef>
              <c:f>'Pernocta evol mensu TF cat'!$B$9:$B$20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cat'!$N$9:$N$21</c:f>
              <c:numCache>
                <c:formatCode>0.0%</c:formatCode>
                <c:ptCount val="13"/>
                <c:pt idx="0">
                  <c:v>-1.9976010334009975E-2</c:v>
                </c:pt>
                <c:pt idx="1">
                  <c:v>8.437325721550204E-3</c:v>
                </c:pt>
                <c:pt idx="2">
                  <c:v>-5.9179058065245704E-2</c:v>
                </c:pt>
                <c:pt idx="3">
                  <c:v>3.5445034979503687E-2</c:v>
                </c:pt>
                <c:pt idx="4">
                  <c:v>-0.10448087841724818</c:v>
                </c:pt>
                <c:pt idx="5">
                  <c:v>-6.2948323817888507E-3</c:v>
                </c:pt>
                <c:pt idx="6">
                  <c:v>7.8380820293841857E-2</c:v>
                </c:pt>
                <c:pt idx="7">
                  <c:v>5.3577993916908984E-2</c:v>
                </c:pt>
                <c:pt idx="8">
                  <c:v>0.12585691565207857</c:v>
                </c:pt>
                <c:pt idx="12">
                  <c:v>1.1329474174484711E-2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3E3-44F9-A97E-4834DEB39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5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0624332445310046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457-406C-8A80-C467A79EDD71}"/>
              </c:ext>
            </c:extLst>
          </c:dPt>
          <c:val>
            <c:numRef>
              <c:f>'Pernocta evol mensu TF cat'!$I$31:$I$43</c:f>
              <c:numCache>
                <c:formatCode>#,##0</c:formatCode>
                <c:ptCount val="13"/>
                <c:pt idx="0">
                  <c:v>134558</c:v>
                </c:pt>
                <c:pt idx="1">
                  <c:v>128079</c:v>
                </c:pt>
                <c:pt idx="2">
                  <c:v>117104</c:v>
                </c:pt>
                <c:pt idx="3">
                  <c:v>120355</c:v>
                </c:pt>
                <c:pt idx="4">
                  <c:v>122105</c:v>
                </c:pt>
                <c:pt idx="5">
                  <c:v>123362</c:v>
                </c:pt>
                <c:pt idx="6">
                  <c:v>139919</c:v>
                </c:pt>
                <c:pt idx="7">
                  <c:v>150474</c:v>
                </c:pt>
                <c:pt idx="8">
                  <c:v>126900</c:v>
                </c:pt>
                <c:pt idx="9">
                  <c:v>143241</c:v>
                </c:pt>
                <c:pt idx="10">
                  <c:v>135531</c:v>
                </c:pt>
                <c:pt idx="11">
                  <c:v>128235</c:v>
                </c:pt>
                <c:pt idx="12">
                  <c:v>1569863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57-406C-8A80-C467A79EDD71}"/>
            </c:ext>
          </c:extLst>
        </c:ser>
        <c:ser>
          <c:idx val="0"/>
          <c:order val="2"/>
          <c:tx>
            <c:strRef>
              <c:f>'Pernocta evol mensu TF cat'!$K$29:$L$29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457-406C-8A80-C467A79EDD71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cat'!$K$31:$K$43</c:f>
              <c:numCache>
                <c:formatCode>#,##0</c:formatCode>
                <c:ptCount val="13"/>
                <c:pt idx="0">
                  <c:v>142289</c:v>
                </c:pt>
                <c:pt idx="1">
                  <c:v>141936</c:v>
                </c:pt>
                <c:pt idx="2">
                  <c:v>145867</c:v>
                </c:pt>
                <c:pt idx="3">
                  <c:v>131033</c:v>
                </c:pt>
                <c:pt idx="4">
                  <c:v>138860</c:v>
                </c:pt>
                <c:pt idx="5">
                  <c:v>137217</c:v>
                </c:pt>
                <c:pt idx="6">
                  <c:v>146858</c:v>
                </c:pt>
                <c:pt idx="7">
                  <c:v>148337</c:v>
                </c:pt>
                <c:pt idx="8">
                  <c:v>122477</c:v>
                </c:pt>
                <c:pt idx="9">
                  <c:v>149661</c:v>
                </c:pt>
                <c:pt idx="10">
                  <c:v>131764</c:v>
                </c:pt>
                <c:pt idx="11">
                  <c:v>130081</c:v>
                </c:pt>
                <c:pt idx="12">
                  <c:v>1666380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457-406C-8A80-C467A79EDD71}"/>
            </c:ext>
          </c:extLst>
        </c:ser>
        <c:ser>
          <c:idx val="1"/>
          <c:order val="3"/>
          <c:tx>
            <c:strRef>
              <c:f>'Pernocta evol mensu TF cat'!$M$29:$N$29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457-406C-8A80-C467A79EDD71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457-406C-8A80-C467A79EDD71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cat'!$M$31:$M$43</c:f>
              <c:numCache>
                <c:formatCode>#,##0</c:formatCode>
                <c:ptCount val="13"/>
                <c:pt idx="0">
                  <c:v>138341</c:v>
                </c:pt>
                <c:pt idx="1">
                  <c:v>137229</c:v>
                </c:pt>
                <c:pt idx="2">
                  <c:v>134131</c:v>
                </c:pt>
                <c:pt idx="3">
                  <c:v>131324</c:v>
                </c:pt>
                <c:pt idx="4">
                  <c:v>120839</c:v>
                </c:pt>
                <c:pt idx="5">
                  <c:v>131926</c:v>
                </c:pt>
                <c:pt idx="6">
                  <c:v>152938</c:v>
                </c:pt>
                <c:pt idx="7">
                  <c:v>149422</c:v>
                </c:pt>
                <c:pt idx="8">
                  <c:v>136310</c:v>
                </c:pt>
                <c:pt idx="12">
                  <c:v>1232460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457-406C-8A80-C467A79ED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457-406C-8A80-C467A79EDD7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114606</c:v>
                      </c:pt>
                      <c:pt idx="1">
                        <c:v>133643</c:v>
                      </c:pt>
                      <c:pt idx="2">
                        <c:v>58888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52066</c:v>
                      </c:pt>
                      <c:pt idx="8">
                        <c:v>18190</c:v>
                      </c:pt>
                      <c:pt idx="9">
                        <c:v>20865</c:v>
                      </c:pt>
                      <c:pt idx="10">
                        <c:v>26883</c:v>
                      </c:pt>
                      <c:pt idx="11">
                        <c:v>28481</c:v>
                      </c:pt>
                      <c:pt idx="12">
                        <c:v>473644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457-406C-8A80-C467A79EDD7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457-406C-8A80-C467A79EDD71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457-406C-8A80-C467A79EDD71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457-406C-8A80-C467A79EDD71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457-406C-8A80-C467A79EDD71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457-406C-8A80-C467A79EDD71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457-406C-8A80-C467A79EDD71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457-406C-8A80-C467A79EDD71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457-406C-8A80-C467A79EDD71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457-406C-8A80-C467A79EDD71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457-406C-8A80-C467A79EDD71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457-406C-8A80-C467A79EDD71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457-406C-8A80-C467A79EDD71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457-406C-8A80-C467A79EDD71}"/>
              </c:ext>
            </c:extLst>
          </c:dPt>
          <c:cat>
            <c:strRef>
              <c:f>'Pernocta evol mensu TF cat'!$B$31:$B$42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cat'!$N$31:$N$43</c:f>
              <c:numCache>
                <c:formatCode>0.0%</c:formatCode>
                <c:ptCount val="13"/>
                <c:pt idx="0">
                  <c:v>-2.7746347222905476E-2</c:v>
                </c:pt>
                <c:pt idx="1">
                  <c:v>-3.3162833953331083E-2</c:v>
                </c:pt>
                <c:pt idx="2">
                  <c:v>-8.0456854531868016E-2</c:v>
                </c:pt>
                <c:pt idx="3">
                  <c:v>2.2208146039546239E-3</c:v>
                </c:pt>
                <c:pt idx="4">
                  <c:v>-0.12977819386432377</c:v>
                </c:pt>
                <c:pt idx="5">
                  <c:v>-3.8559362178155809E-2</c:v>
                </c:pt>
                <c:pt idx="6">
                  <c:v>4.1400536572743674E-2</c:v>
                </c:pt>
                <c:pt idx="7">
                  <c:v>7.3144259355386598E-3</c:v>
                </c:pt>
                <c:pt idx="8">
                  <c:v>0.11294365472700996</c:v>
                </c:pt>
                <c:pt idx="12">
                  <c:v>-1.786155422775515E-2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457-406C-8A80-C467A79ED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6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1187294267900032"/>
          <c:w val="0.86939722222222227"/>
          <c:h val="0.42070463713947498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4C1-41A8-8B37-CBFF40FC83BF}"/>
              </c:ext>
            </c:extLst>
          </c:dPt>
          <c:val>
            <c:numRef>
              <c:f>'Pernocta evol mensu TF cat'!$I$53:$I$65</c:f>
              <c:numCache>
                <c:formatCode>#,##0</c:formatCode>
                <c:ptCount val="13"/>
                <c:pt idx="0">
                  <c:v>113052</c:v>
                </c:pt>
                <c:pt idx="1">
                  <c:v>109569</c:v>
                </c:pt>
                <c:pt idx="2">
                  <c:v>96770</c:v>
                </c:pt>
                <c:pt idx="3">
                  <c:v>98829</c:v>
                </c:pt>
                <c:pt idx="4">
                  <c:v>95544</c:v>
                </c:pt>
                <c:pt idx="5">
                  <c:v>98589</c:v>
                </c:pt>
                <c:pt idx="6">
                  <c:v>111016</c:v>
                </c:pt>
                <c:pt idx="7">
                  <c:v>120661</c:v>
                </c:pt>
                <c:pt idx="8">
                  <c:v>98874</c:v>
                </c:pt>
                <c:pt idx="9">
                  <c:v>116543</c:v>
                </c:pt>
                <c:pt idx="10">
                  <c:v>110808</c:v>
                </c:pt>
                <c:pt idx="11">
                  <c:v>103266</c:v>
                </c:pt>
                <c:pt idx="12">
                  <c:v>1273521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C1-41A8-8B37-CBFF40FC83BF}"/>
            </c:ext>
          </c:extLst>
        </c:ser>
        <c:ser>
          <c:idx val="0"/>
          <c:order val="2"/>
          <c:tx>
            <c:strRef>
              <c:f>'Pernocta evol mensu TF cat'!$K$51:$L$51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4C1-41A8-8B37-CBFF40FC83BF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cat'!$K$53:$K$65</c:f>
              <c:numCache>
                <c:formatCode>#,##0</c:formatCode>
                <c:ptCount val="13"/>
                <c:pt idx="0">
                  <c:v>113741</c:v>
                </c:pt>
                <c:pt idx="1">
                  <c:v>113810</c:v>
                </c:pt>
                <c:pt idx="2">
                  <c:v>116605</c:v>
                </c:pt>
                <c:pt idx="3">
                  <c:v>107032</c:v>
                </c:pt>
                <c:pt idx="4">
                  <c:v>108036</c:v>
                </c:pt>
                <c:pt idx="5">
                  <c:v>106021</c:v>
                </c:pt>
                <c:pt idx="6">
                  <c:v>115402</c:v>
                </c:pt>
                <c:pt idx="7">
                  <c:v>117130</c:v>
                </c:pt>
                <c:pt idx="8">
                  <c:v>96825</c:v>
                </c:pt>
                <c:pt idx="9">
                  <c:v>123226</c:v>
                </c:pt>
                <c:pt idx="10">
                  <c:v>105403</c:v>
                </c:pt>
                <c:pt idx="11">
                  <c:v>105060</c:v>
                </c:pt>
                <c:pt idx="12">
                  <c:v>1328291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4C1-41A8-8B37-CBFF40FC83BF}"/>
            </c:ext>
          </c:extLst>
        </c:ser>
        <c:ser>
          <c:idx val="1"/>
          <c:order val="3"/>
          <c:tx>
            <c:strRef>
              <c:f>'Pernocta evol mensu TF cat'!$M$51:$N$51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4C1-41A8-8B37-CBFF40FC83B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4C1-41A8-8B37-CBFF40FC83BF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cat'!$M$53:$M$65</c:f>
              <c:numCache>
                <c:formatCode>#,##0</c:formatCode>
                <c:ptCount val="13"/>
                <c:pt idx="0">
                  <c:v>109525</c:v>
                </c:pt>
                <c:pt idx="1">
                  <c:v>111410</c:v>
                </c:pt>
                <c:pt idx="2">
                  <c:v>110011</c:v>
                </c:pt>
                <c:pt idx="3">
                  <c:v>107149</c:v>
                </c:pt>
                <c:pt idx="4">
                  <c:v>94476</c:v>
                </c:pt>
                <c:pt idx="5">
                  <c:v>106243</c:v>
                </c:pt>
                <c:pt idx="6">
                  <c:v>123116</c:v>
                </c:pt>
                <c:pt idx="7">
                  <c:v>119132</c:v>
                </c:pt>
                <c:pt idx="8">
                  <c:v>109093</c:v>
                </c:pt>
                <c:pt idx="12">
                  <c:v>990155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4C1-41A8-8B37-CBFF40FC8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4C1-41A8-8B37-CBFF40FC83B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88467</c:v>
                      </c:pt>
                      <c:pt idx="1">
                        <c:v>107490</c:v>
                      </c:pt>
                      <c:pt idx="2">
                        <c:v>46120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39936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4C1-41A8-8B37-CBFF40FC83B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4C1-41A8-8B37-CBFF40FC83B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4C1-41A8-8B37-CBFF40FC83B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4C1-41A8-8B37-CBFF40FC83B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4C1-41A8-8B37-CBFF40FC83B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4C1-41A8-8B37-CBFF40FC83B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4C1-41A8-8B37-CBFF40FC83B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4C1-41A8-8B37-CBFF40FC83B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4C1-41A8-8B37-CBFF40FC83B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4C1-41A8-8B37-CBFF40FC83B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4C1-41A8-8B37-CBFF40FC83B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4C1-41A8-8B37-CBFF40FC83B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4C1-41A8-8B37-CBFF40FC83B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4C1-41A8-8B37-CBFF40FC83BF}"/>
              </c:ext>
            </c:extLst>
          </c:dPt>
          <c:cat>
            <c:strRef>
              <c:f>'Pernocta evol mensu TF cat'!$B$53:$B$64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cat'!$N$53:$N$65</c:f>
              <c:numCache>
                <c:formatCode>0.0%</c:formatCode>
                <c:ptCount val="13"/>
                <c:pt idx="0">
                  <c:v>-3.7066669011174502E-2</c:v>
                </c:pt>
                <c:pt idx="1">
                  <c:v>-2.1087777875406388E-2</c:v>
                </c:pt>
                <c:pt idx="2">
                  <c:v>-5.6549890656489854E-2</c:v>
                </c:pt>
                <c:pt idx="3">
                  <c:v>1.0931310262352056E-3</c:v>
                </c:pt>
                <c:pt idx="4">
                  <c:v>-0.12551371764967234</c:v>
                </c:pt>
                <c:pt idx="5">
                  <c:v>2.0939247884852463E-3</c:v>
                </c:pt>
                <c:pt idx="6">
                  <c:v>6.6844595414290886E-2</c:v>
                </c:pt>
                <c:pt idx="7">
                  <c:v>1.7092119866814581E-2</c:v>
                </c:pt>
                <c:pt idx="8">
                  <c:v>0.12670281435579644</c:v>
                </c:pt>
                <c:pt idx="12">
                  <c:v>-4.4711351877434469E-3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4C1-41A8-8B37-CBFF40FC8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6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28A-4865-AC46-68516446AEBC}"/>
              </c:ext>
            </c:extLst>
          </c:dPt>
          <c:val>
            <c:numRef>
              <c:f>'Pernocta evol mensu TF cat'!$I$75:$I$87</c:f>
              <c:numCache>
                <c:formatCode>#,##0</c:formatCode>
                <c:ptCount val="13"/>
                <c:pt idx="0">
                  <c:v>21506</c:v>
                </c:pt>
                <c:pt idx="1">
                  <c:v>18510</c:v>
                </c:pt>
                <c:pt idx="2">
                  <c:v>20334</c:v>
                </c:pt>
                <c:pt idx="3">
                  <c:v>21526</c:v>
                </c:pt>
                <c:pt idx="4">
                  <c:v>26561</c:v>
                </c:pt>
                <c:pt idx="5">
                  <c:v>24773</c:v>
                </c:pt>
                <c:pt idx="6">
                  <c:v>28903</c:v>
                </c:pt>
                <c:pt idx="7">
                  <c:v>29813</c:v>
                </c:pt>
                <c:pt idx="8">
                  <c:v>28026</c:v>
                </c:pt>
                <c:pt idx="9">
                  <c:v>26698</c:v>
                </c:pt>
                <c:pt idx="10">
                  <c:v>24723</c:v>
                </c:pt>
                <c:pt idx="11">
                  <c:v>24969</c:v>
                </c:pt>
                <c:pt idx="12">
                  <c:v>296342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8A-4865-AC46-68516446AEBC}"/>
            </c:ext>
          </c:extLst>
        </c:ser>
        <c:ser>
          <c:idx val="0"/>
          <c:order val="2"/>
          <c:tx>
            <c:strRef>
              <c:f>'Pernocta evol mensu TF cat'!$K$73:$L$73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28A-4865-AC46-68516446AEBC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cat'!$K$75:$K$87</c:f>
              <c:numCache>
                <c:formatCode>#,##0</c:formatCode>
                <c:ptCount val="13"/>
                <c:pt idx="0">
                  <c:v>28548</c:v>
                </c:pt>
                <c:pt idx="1">
                  <c:v>28126</c:v>
                </c:pt>
                <c:pt idx="2">
                  <c:v>29262</c:v>
                </c:pt>
                <c:pt idx="3">
                  <c:v>24001</c:v>
                </c:pt>
                <c:pt idx="4">
                  <c:v>30824</c:v>
                </c:pt>
                <c:pt idx="5">
                  <c:v>31196</c:v>
                </c:pt>
                <c:pt idx="6">
                  <c:v>31456</c:v>
                </c:pt>
                <c:pt idx="7">
                  <c:v>31207</c:v>
                </c:pt>
                <c:pt idx="8">
                  <c:v>25652</c:v>
                </c:pt>
                <c:pt idx="9">
                  <c:v>26435</c:v>
                </c:pt>
                <c:pt idx="10">
                  <c:v>26361</c:v>
                </c:pt>
                <c:pt idx="11">
                  <c:v>25021</c:v>
                </c:pt>
                <c:pt idx="12">
                  <c:v>338089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28A-4865-AC46-68516446AEBC}"/>
            </c:ext>
          </c:extLst>
        </c:ser>
        <c:ser>
          <c:idx val="1"/>
          <c:order val="3"/>
          <c:tx>
            <c:strRef>
              <c:f>'Pernocta evol mensu TF cat'!$M$73:$N$73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28A-4865-AC46-68516446AEB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28A-4865-AC46-68516446AEBC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cat'!$M$75:$M$87</c:f>
              <c:numCache>
                <c:formatCode>#,##0</c:formatCode>
                <c:ptCount val="13"/>
                <c:pt idx="0">
                  <c:v>28816</c:v>
                </c:pt>
                <c:pt idx="1">
                  <c:v>25819</c:v>
                </c:pt>
                <c:pt idx="2">
                  <c:v>24120</c:v>
                </c:pt>
                <c:pt idx="3">
                  <c:v>24175</c:v>
                </c:pt>
                <c:pt idx="4">
                  <c:v>26363</c:v>
                </c:pt>
                <c:pt idx="5">
                  <c:v>25683</c:v>
                </c:pt>
                <c:pt idx="6">
                  <c:v>29822</c:v>
                </c:pt>
                <c:pt idx="7">
                  <c:v>30290</c:v>
                </c:pt>
                <c:pt idx="8">
                  <c:v>27217</c:v>
                </c:pt>
                <c:pt idx="12">
                  <c:v>242305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28A-4865-AC46-68516446A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28A-4865-AC46-68516446AEB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26139</c:v>
                      </c:pt>
                      <c:pt idx="1">
                        <c:v>26153</c:v>
                      </c:pt>
                      <c:pt idx="2">
                        <c:v>12768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12130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28A-4865-AC46-68516446AEB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28A-4865-AC46-68516446AEB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28A-4865-AC46-68516446AEB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28A-4865-AC46-68516446AEB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28A-4865-AC46-68516446AEB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28A-4865-AC46-68516446AEB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28A-4865-AC46-68516446AEB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28A-4865-AC46-68516446AEB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28A-4865-AC46-68516446AEB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28A-4865-AC46-68516446AEB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28A-4865-AC46-68516446AEB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28A-4865-AC46-68516446AEB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28A-4865-AC46-68516446AEB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28A-4865-AC46-68516446AEBC}"/>
              </c:ext>
            </c:extLst>
          </c:dPt>
          <c:cat>
            <c:strRef>
              <c:f>'Pernocta evol mensu TF cat'!$B$75:$B$86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cat'!$N$75:$N$87</c:f>
              <c:numCache>
                <c:formatCode>0.0%</c:formatCode>
                <c:ptCount val="13"/>
                <c:pt idx="0">
                  <c:v>9.3876979122879955E-3</c:v>
                </c:pt>
                <c:pt idx="1">
                  <c:v>-8.2023750266657203E-2</c:v>
                </c:pt>
                <c:pt idx="2">
                  <c:v>-0.17572278039778555</c:v>
                </c:pt>
                <c:pt idx="3">
                  <c:v>7.2496979292528962E-3</c:v>
                </c:pt>
                <c:pt idx="4">
                  <c:v>-0.14472488969634056</c:v>
                </c:pt>
                <c:pt idx="5">
                  <c:v>-0.17672137453519687</c:v>
                </c:pt>
                <c:pt idx="6">
                  <c:v>-5.1945574771108838E-2</c:v>
                </c:pt>
                <c:pt idx="7">
                  <c:v>-2.9384432979780217E-2</c:v>
                </c:pt>
                <c:pt idx="8">
                  <c:v>6.1008888195852151E-2</c:v>
                </c:pt>
                <c:pt idx="12">
                  <c:v>-6.9031628450236693E-2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28A-4865-AC46-68516446A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5EA-40F7-90FA-2C1DA5DA9E90}"/>
              </c:ext>
            </c:extLst>
          </c:dPt>
          <c:val>
            <c:numRef>
              <c:f>'Pernocta evol mensu TF cat'!$I$97:$I$109</c:f>
              <c:numCache>
                <c:formatCode>#,##0</c:formatCode>
                <c:ptCount val="13"/>
                <c:pt idx="0">
                  <c:v>29362</c:v>
                </c:pt>
                <c:pt idx="1">
                  <c:v>28295</c:v>
                </c:pt>
                <c:pt idx="2">
                  <c:v>29030</c:v>
                </c:pt>
                <c:pt idx="3">
                  <c:v>24480</c:v>
                </c:pt>
                <c:pt idx="4">
                  <c:v>18346</c:v>
                </c:pt>
                <c:pt idx="5">
                  <c:v>18927</c:v>
                </c:pt>
                <c:pt idx="6">
                  <c:v>26512</c:v>
                </c:pt>
                <c:pt idx="7">
                  <c:v>31400</c:v>
                </c:pt>
                <c:pt idx="8">
                  <c:v>23909</c:v>
                </c:pt>
                <c:pt idx="9">
                  <c:v>27467</c:v>
                </c:pt>
                <c:pt idx="10">
                  <c:v>28858</c:v>
                </c:pt>
                <c:pt idx="11">
                  <c:v>30289</c:v>
                </c:pt>
                <c:pt idx="12">
                  <c:v>316875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EA-40F7-90FA-2C1DA5DA9E90}"/>
            </c:ext>
          </c:extLst>
        </c:ser>
        <c:ser>
          <c:idx val="0"/>
          <c:order val="2"/>
          <c:tx>
            <c:strRef>
              <c:f>'Pernocta evol mensu TF cat'!$K$95:$L$95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5EA-40F7-90FA-2C1DA5DA9E90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cat'!$K$97:$K$109</c:f>
              <c:numCache>
                <c:formatCode>#,##0</c:formatCode>
                <c:ptCount val="13"/>
                <c:pt idx="0">
                  <c:v>31119</c:v>
                </c:pt>
                <c:pt idx="1">
                  <c:v>24823</c:v>
                </c:pt>
                <c:pt idx="2">
                  <c:v>31003</c:v>
                </c:pt>
                <c:pt idx="3">
                  <c:v>23629</c:v>
                </c:pt>
                <c:pt idx="4">
                  <c:v>21064</c:v>
                </c:pt>
                <c:pt idx="5">
                  <c:v>19896</c:v>
                </c:pt>
                <c:pt idx="6">
                  <c:v>26909</c:v>
                </c:pt>
                <c:pt idx="7">
                  <c:v>31177</c:v>
                </c:pt>
                <c:pt idx="8">
                  <c:v>23395</c:v>
                </c:pt>
                <c:pt idx="9">
                  <c:v>28050</c:v>
                </c:pt>
                <c:pt idx="10">
                  <c:v>30877</c:v>
                </c:pt>
                <c:pt idx="11">
                  <c:v>30458</c:v>
                </c:pt>
                <c:pt idx="12">
                  <c:v>322400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5EA-40F7-90FA-2C1DA5DA9E90}"/>
            </c:ext>
          </c:extLst>
        </c:ser>
        <c:ser>
          <c:idx val="1"/>
          <c:order val="3"/>
          <c:tx>
            <c:strRef>
              <c:f>'Pernocta evol mensu TF cat'!$M$95:$N$95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5EA-40F7-90FA-2C1DA5DA9E9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5EA-40F7-90FA-2C1DA5DA9E90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cat'!$M$97:$M$109</c:f>
              <c:numCache>
                <c:formatCode>#,##0</c:formatCode>
                <c:ptCount val="13"/>
                <c:pt idx="0">
                  <c:v>31603</c:v>
                </c:pt>
                <c:pt idx="1">
                  <c:v>30937</c:v>
                </c:pt>
                <c:pt idx="2">
                  <c:v>32272</c:v>
                </c:pt>
                <c:pt idx="3">
                  <c:v>28820</c:v>
                </c:pt>
                <c:pt idx="4">
                  <c:v>22376</c:v>
                </c:pt>
                <c:pt idx="5">
                  <c:v>24198</c:v>
                </c:pt>
                <c:pt idx="6">
                  <c:v>34449</c:v>
                </c:pt>
                <c:pt idx="7">
                  <c:v>39710</c:v>
                </c:pt>
                <c:pt idx="8">
                  <c:v>27921</c:v>
                </c:pt>
                <c:pt idx="12">
                  <c:v>272286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5EA-40F7-90FA-2C1DA5DA9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5EA-40F7-90FA-2C1DA5DA9E9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43194</c:v>
                      </c:pt>
                      <c:pt idx="1">
                        <c:v>39241</c:v>
                      </c:pt>
                      <c:pt idx="2">
                        <c:v>23119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8447</c:v>
                      </c:pt>
                      <c:pt idx="8">
                        <c:v>4719</c:v>
                      </c:pt>
                      <c:pt idx="9">
                        <c:v>3478</c:v>
                      </c:pt>
                      <c:pt idx="10">
                        <c:v>3773</c:v>
                      </c:pt>
                      <c:pt idx="11">
                        <c:v>4711</c:v>
                      </c:pt>
                      <c:pt idx="12">
                        <c:v>137122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5EA-40F7-90FA-2C1DA5DA9E9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5EA-40F7-90FA-2C1DA5DA9E9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5EA-40F7-90FA-2C1DA5DA9E9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5EA-40F7-90FA-2C1DA5DA9E9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5EA-40F7-90FA-2C1DA5DA9E9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5EA-40F7-90FA-2C1DA5DA9E9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5EA-40F7-90FA-2C1DA5DA9E9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5EA-40F7-90FA-2C1DA5DA9E9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5EA-40F7-90FA-2C1DA5DA9E9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5EA-40F7-90FA-2C1DA5DA9E9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5EA-40F7-90FA-2C1DA5DA9E9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5EA-40F7-90FA-2C1DA5DA9E9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5EA-40F7-90FA-2C1DA5DA9E9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5EA-40F7-90FA-2C1DA5DA9E90}"/>
              </c:ext>
            </c:extLst>
          </c:dPt>
          <c:cat>
            <c:strRef>
              <c:f>'Pernocta evol mensu TF cat'!$B$97:$B$108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cat'!$N$97:$N$109</c:f>
              <c:numCache>
                <c:formatCode>0.0%</c:formatCode>
                <c:ptCount val="13"/>
                <c:pt idx="0">
                  <c:v>1.5553199010250873E-2</c:v>
                </c:pt>
                <c:pt idx="1">
                  <c:v>0.24630383112436038</c:v>
                </c:pt>
                <c:pt idx="2">
                  <c:v>4.0931522755862426E-2</c:v>
                </c:pt>
                <c:pt idx="3">
                  <c:v>0.21968767192856231</c:v>
                </c:pt>
                <c:pt idx="4">
                  <c:v>6.2286365362704155E-2</c:v>
                </c:pt>
                <c:pt idx="5">
                  <c:v>0.21622436670687573</c:v>
                </c:pt>
                <c:pt idx="6">
                  <c:v>0.28020364933665309</c:v>
                </c:pt>
                <c:pt idx="7">
                  <c:v>0.27369535234307341</c:v>
                </c:pt>
                <c:pt idx="8">
                  <c:v>0.19346014105578124</c:v>
                </c:pt>
                <c:pt idx="12">
                  <c:v>0.16853421453554485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5EA-40F7-90FA-2C1DA5DA9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AF8-4A27-9E5F-E05AE8B8C4B0}"/>
              </c:ext>
            </c:extLst>
          </c:dPt>
          <c:val>
            <c:numRef>
              <c:f>'EM evol menusual lugar resd'!$I$9:$I$21</c:f>
              <c:numCache>
                <c:formatCode>0.00</c:formatCode>
                <c:ptCount val="13"/>
                <c:pt idx="0">
                  <c:v>7.2885726989773234</c:v>
                </c:pt>
                <c:pt idx="1">
                  <c:v>6.7735424066533829</c:v>
                </c:pt>
                <c:pt idx="2">
                  <c:v>6.7377011388261332</c:v>
                </c:pt>
                <c:pt idx="3">
                  <c:v>6.1673905637881115</c:v>
                </c:pt>
                <c:pt idx="4">
                  <c:v>6.5183552234649831</c:v>
                </c:pt>
                <c:pt idx="5">
                  <c:v>6.7547590790410634</c:v>
                </c:pt>
                <c:pt idx="6">
                  <c:v>6.8557834898665346</c:v>
                </c:pt>
                <c:pt idx="7">
                  <c:v>7.1337124926456168</c:v>
                </c:pt>
                <c:pt idx="8">
                  <c:v>6.8220845019451737</c:v>
                </c:pt>
                <c:pt idx="9">
                  <c:v>6.8264086055904345</c:v>
                </c:pt>
                <c:pt idx="10">
                  <c:v>6.7909695542611646</c:v>
                </c:pt>
                <c:pt idx="11">
                  <c:v>6.5663159638803741</c:v>
                </c:pt>
                <c:pt idx="12">
                  <c:v>6.7723569064660403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F8-4A27-9E5F-E05AE8B8C4B0}"/>
            </c:ext>
          </c:extLst>
        </c:ser>
        <c:ser>
          <c:idx val="0"/>
          <c:order val="2"/>
          <c:tx>
            <c:strRef>
              <c:f>'EM evol menusual lugar resd'!$K$7:$L$7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AF8-4A27-9E5F-E05AE8B8C4B0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resd'!$K$9:$K$21</c:f>
              <c:numCache>
                <c:formatCode>0.00</c:formatCode>
                <c:ptCount val="13"/>
                <c:pt idx="0">
                  <c:v>7.65598233995585</c:v>
                </c:pt>
                <c:pt idx="1">
                  <c:v>6.9712386605911121</c:v>
                </c:pt>
                <c:pt idx="2">
                  <c:v>6.4654920309986839</c:v>
                </c:pt>
                <c:pt idx="3">
                  <c:v>6.965188020716055</c:v>
                </c:pt>
                <c:pt idx="4">
                  <c:v>6.820077615250117</c:v>
                </c:pt>
                <c:pt idx="5">
                  <c:v>6.8785517271573049</c:v>
                </c:pt>
                <c:pt idx="6">
                  <c:v>6.9805567830313739</c:v>
                </c:pt>
                <c:pt idx="7">
                  <c:v>7.0900904459101861</c:v>
                </c:pt>
                <c:pt idx="8">
                  <c:v>6.8866018317439339</c:v>
                </c:pt>
                <c:pt idx="9">
                  <c:v>6.499798836911598</c:v>
                </c:pt>
                <c:pt idx="10">
                  <c:v>6.9614775499721784</c:v>
                </c:pt>
                <c:pt idx="11">
                  <c:v>6.8930442249892661</c:v>
                </c:pt>
                <c:pt idx="12">
                  <c:v>6.910044821236232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AF8-4A27-9E5F-E05AE8B8C4B0}"/>
            </c:ext>
          </c:extLst>
        </c:ser>
        <c:ser>
          <c:idx val="1"/>
          <c:order val="3"/>
          <c:tx>
            <c:strRef>
              <c:f>'EM evol menusual lugar resd'!$M$7:$N$7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AF8-4A27-9E5F-E05AE8B8C4B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AF8-4A27-9E5F-E05AE8B8C4B0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resd'!$M$9:$M$21</c:f>
              <c:numCache>
                <c:formatCode>0.00</c:formatCode>
                <c:ptCount val="13"/>
                <c:pt idx="0">
                  <c:v>7.5436789772727275</c:v>
                </c:pt>
                <c:pt idx="1">
                  <c:v>7.2220742967575688</c:v>
                </c:pt>
                <c:pt idx="2">
                  <c:v>6.9178930739170204</c:v>
                </c:pt>
                <c:pt idx="3">
                  <c:v>6.8137684550908393</c:v>
                </c:pt>
                <c:pt idx="4">
                  <c:v>7.3308251433251437</c:v>
                </c:pt>
                <c:pt idx="5">
                  <c:v>6.7413964333520449</c:v>
                </c:pt>
                <c:pt idx="6">
                  <c:v>6.7038852318259874</c:v>
                </c:pt>
                <c:pt idx="7">
                  <c:v>7.4288856592953376</c:v>
                </c:pt>
                <c:pt idx="8">
                  <c:v>6.7704580121202129</c:v>
                </c:pt>
                <c:pt idx="12">
                  <c:v>7.0403072992939792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AF8-4A27-9E5F-E05AE8B8C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AF8-4A27-9E5F-E05AE8B8C4B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resd'!$C$9:$C$21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7.5032095478103749</c:v>
                      </c:pt>
                      <c:pt idx="1">
                        <c:v>7.7170021872070702</c:v>
                      </c:pt>
                      <c:pt idx="2">
                        <c:v>9.2506486181613088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4.5515607371192175</c:v>
                      </c:pt>
                      <c:pt idx="8">
                        <c:v>4.0015720524017464</c:v>
                      </c:pt>
                      <c:pt idx="9">
                        <c:v>3.6523630907726932</c:v>
                      </c:pt>
                      <c:pt idx="10">
                        <c:v>6.220779220779221</c:v>
                      </c:pt>
                      <c:pt idx="11">
                        <c:v>5.3013895543842837</c:v>
                      </c:pt>
                      <c:pt idx="12">
                        <c:v>6.3173322576307651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AF8-4A27-9E5F-E05AE8B8C4B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resd'!$N$8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AF8-4A27-9E5F-E05AE8B8C4B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AF8-4A27-9E5F-E05AE8B8C4B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AF8-4A27-9E5F-E05AE8B8C4B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AF8-4A27-9E5F-E05AE8B8C4B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AF8-4A27-9E5F-E05AE8B8C4B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AF8-4A27-9E5F-E05AE8B8C4B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AF8-4A27-9E5F-E05AE8B8C4B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AF8-4A27-9E5F-E05AE8B8C4B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AF8-4A27-9E5F-E05AE8B8C4B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AF8-4A27-9E5F-E05AE8B8C4B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AF8-4A27-9E5F-E05AE8B8C4B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AF8-4A27-9E5F-E05AE8B8C4B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AF8-4A27-9E5F-E05AE8B8C4B0}"/>
              </c:ext>
            </c:extLst>
          </c:dPt>
          <c:cat>
            <c:strRef>
              <c:f>'EM evol menusual lugar resd'!$B$9:$B$20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resd'!$N$9:$N$21</c:f>
              <c:numCache>
                <c:formatCode>0.00</c:formatCode>
                <c:ptCount val="13"/>
                <c:pt idx="0">
                  <c:v>-0.11230336268312247</c:v>
                </c:pt>
                <c:pt idx="1">
                  <c:v>0.25083563616645677</c:v>
                </c:pt>
                <c:pt idx="2">
                  <c:v>0.45240104291833649</c:v>
                </c:pt>
                <c:pt idx="3">
                  <c:v>-0.15141956562521575</c:v>
                </c:pt>
                <c:pt idx="4">
                  <c:v>0.51074752807502666</c:v>
                </c:pt>
                <c:pt idx="5">
                  <c:v>-0.13715529380526004</c:v>
                </c:pt>
                <c:pt idx="6">
                  <c:v>-0.27667155120538656</c:v>
                </c:pt>
                <c:pt idx="7">
                  <c:v>0.33879521338515151</c:v>
                </c:pt>
                <c:pt idx="8">
                  <c:v>-0.116143819623721</c:v>
                </c:pt>
                <c:pt idx="12">
                  <c:v>8.1571750972057266E-2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AF8-4A27-9E5F-E05AE8B8C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AA0-4879-8E67-41D2BE978F66}"/>
              </c:ext>
            </c:extLst>
          </c:dPt>
          <c:val>
            <c:numRef>
              <c:f>'EM evol menusual lugar resd'!$I$31:$I$43</c:f>
              <c:numCache>
                <c:formatCode>0.00</c:formatCode>
                <c:ptCount val="13"/>
                <c:pt idx="0">
                  <c:v>4.65979381443299</c:v>
                </c:pt>
                <c:pt idx="1">
                  <c:v>4.0410122164048863</c:v>
                </c:pt>
                <c:pt idx="2">
                  <c:v>3.6146943353897925</c:v>
                </c:pt>
                <c:pt idx="3">
                  <c:v>2.8504016064257027</c:v>
                </c:pt>
                <c:pt idx="4">
                  <c:v>3.2831715210355985</c:v>
                </c:pt>
                <c:pt idx="5">
                  <c:v>3.3483852529294085</c:v>
                </c:pt>
                <c:pt idx="6">
                  <c:v>3.8014415252266915</c:v>
                </c:pt>
                <c:pt idx="7">
                  <c:v>4.0018788163457026</c:v>
                </c:pt>
                <c:pt idx="8">
                  <c:v>3.6274393849793021</c:v>
                </c:pt>
                <c:pt idx="9">
                  <c:v>3.2132940681531341</c:v>
                </c:pt>
                <c:pt idx="10">
                  <c:v>3.4485981308411215</c:v>
                </c:pt>
                <c:pt idx="11">
                  <c:v>3.404673393520977</c:v>
                </c:pt>
                <c:pt idx="12">
                  <c:v>3.5630895121494159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A0-4879-8E67-41D2BE978F66}"/>
            </c:ext>
          </c:extLst>
        </c:ser>
        <c:ser>
          <c:idx val="0"/>
          <c:order val="2"/>
          <c:tx>
            <c:strRef>
              <c:f>'EM evol menusual lugar resd'!$K$29:$L$29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AA0-4879-8E67-41D2BE978F66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resd'!$K$31:$K$43</c:f>
              <c:numCache>
                <c:formatCode>0.00</c:formatCode>
                <c:ptCount val="13"/>
                <c:pt idx="0">
                  <c:v>4.4990310077519382</c:v>
                </c:pt>
                <c:pt idx="1">
                  <c:v>2.5011169024571855</c:v>
                </c:pt>
                <c:pt idx="2">
                  <c:v>3.1333333333333333</c:v>
                </c:pt>
                <c:pt idx="3">
                  <c:v>3.7895878524945772</c:v>
                </c:pt>
                <c:pt idx="4">
                  <c:v>3.0149592021758838</c:v>
                </c:pt>
                <c:pt idx="5">
                  <c:v>3.406364301389905</c:v>
                </c:pt>
                <c:pt idx="6">
                  <c:v>3.6836089494163424</c:v>
                </c:pt>
                <c:pt idx="7">
                  <c:v>3.593650159744409</c:v>
                </c:pt>
                <c:pt idx="8">
                  <c:v>3.963002114164905</c:v>
                </c:pt>
                <c:pt idx="9">
                  <c:v>3.3147033533963888</c:v>
                </c:pt>
                <c:pt idx="10">
                  <c:v>4.3719325153374236</c:v>
                </c:pt>
                <c:pt idx="11">
                  <c:v>3.9628305932809149</c:v>
                </c:pt>
                <c:pt idx="12">
                  <c:v>3.5542003563108127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AA0-4879-8E67-41D2BE978F66}"/>
            </c:ext>
          </c:extLst>
        </c:ser>
        <c:ser>
          <c:idx val="1"/>
          <c:order val="3"/>
          <c:tx>
            <c:strRef>
              <c:f>'EM evol menusual lugar resd'!$M$29:$N$29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AA0-4879-8E67-41D2BE978F6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AA0-4879-8E67-41D2BE978F66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resd'!$M$31:$M$43</c:f>
              <c:numCache>
                <c:formatCode>0.00</c:formatCode>
                <c:ptCount val="13"/>
                <c:pt idx="0">
                  <c:v>4.9236192714453582</c:v>
                </c:pt>
                <c:pt idx="1">
                  <c:v>3.7223880597014927</c:v>
                </c:pt>
                <c:pt idx="2">
                  <c:v>3.7395048439181915</c:v>
                </c:pt>
                <c:pt idx="3">
                  <c:v>3.6893333333333334</c:v>
                </c:pt>
                <c:pt idx="4">
                  <c:v>3.8170005414185164</c:v>
                </c:pt>
                <c:pt idx="5">
                  <c:v>3.2416153319644079</c:v>
                </c:pt>
                <c:pt idx="6">
                  <c:v>3.3543548387096775</c:v>
                </c:pt>
                <c:pt idx="7">
                  <c:v>4.2007764836383803</c:v>
                </c:pt>
                <c:pt idx="8">
                  <c:v>3.7727522431789051</c:v>
                </c:pt>
                <c:pt idx="12">
                  <c:v>3.7342401748370322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AA0-4879-8E67-41D2BE978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AA0-4879-8E67-41D2BE978F6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resd'!$C$31:$C$43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3.3978234582829505</c:v>
                      </c:pt>
                      <c:pt idx="1">
                        <c:v>3.4050151975683889</c:v>
                      </c:pt>
                      <c:pt idx="2">
                        <c:v>3.8292181069958846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3.0742075823492852</c:v>
                      </c:pt>
                      <c:pt idx="8">
                        <c:v>2.647812971342383</c:v>
                      </c:pt>
                      <c:pt idx="9">
                        <c:v>2.4842917997870075</c:v>
                      </c:pt>
                      <c:pt idx="10">
                        <c:v>3.945582586427657</c:v>
                      </c:pt>
                      <c:pt idx="11">
                        <c:v>2.4285714285714284</c:v>
                      </c:pt>
                      <c:pt idx="12">
                        <c:v>2.875516971571221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AA0-4879-8E67-41D2BE978F6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resd'!$N$30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AA0-4879-8E67-41D2BE978F6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AA0-4879-8E67-41D2BE978F6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AA0-4879-8E67-41D2BE978F6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AA0-4879-8E67-41D2BE978F6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AA0-4879-8E67-41D2BE978F6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AA0-4879-8E67-41D2BE978F6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AA0-4879-8E67-41D2BE978F6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AA0-4879-8E67-41D2BE978F6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AA0-4879-8E67-41D2BE978F6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AA0-4879-8E67-41D2BE978F6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AA0-4879-8E67-41D2BE978F6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AA0-4879-8E67-41D2BE978F6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AA0-4879-8E67-41D2BE978F66}"/>
              </c:ext>
            </c:extLst>
          </c:dPt>
          <c:cat>
            <c:strRef>
              <c:f>'EM evol menusual lugar resd'!$B$31:$B$42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resd'!$N$31:$N$43</c:f>
              <c:numCache>
                <c:formatCode>0.00</c:formatCode>
                <c:ptCount val="13"/>
                <c:pt idx="0">
                  <c:v>0.42458826369341995</c:v>
                </c:pt>
                <c:pt idx="1">
                  <c:v>1.2212711572443071</c:v>
                </c:pt>
                <c:pt idx="2">
                  <c:v>0.60617151058485819</c:v>
                </c:pt>
                <c:pt idx="3">
                  <c:v>-0.10025451916124384</c:v>
                </c:pt>
                <c:pt idx="4">
                  <c:v>0.80204133924263266</c:v>
                </c:pt>
                <c:pt idx="5">
                  <c:v>-0.1647489694254971</c:v>
                </c:pt>
                <c:pt idx="6">
                  <c:v>-0.32925411070666488</c:v>
                </c:pt>
                <c:pt idx="7">
                  <c:v>0.60712632389397125</c:v>
                </c:pt>
                <c:pt idx="8">
                  <c:v>-0.19024987098599988</c:v>
                </c:pt>
                <c:pt idx="12">
                  <c:v>0.21493246914908637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AA0-4879-8E67-41D2BE978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117-4D81-96AE-CD320B1A9666}"/>
              </c:ext>
            </c:extLst>
          </c:dPt>
          <c:val>
            <c:numRef>
              <c:f>'EM evol menusual lugar resd'!$I$53:$I$65</c:f>
              <c:numCache>
                <c:formatCode>0.00</c:formatCode>
                <c:ptCount val="13"/>
                <c:pt idx="0">
                  <c:v>5.0429362880886428</c:v>
                </c:pt>
                <c:pt idx="1">
                  <c:v>4.5245579567779961</c:v>
                </c:pt>
                <c:pt idx="2">
                  <c:v>4.1807228915662646</c:v>
                </c:pt>
                <c:pt idx="3">
                  <c:v>4.0883054892601436</c:v>
                </c:pt>
                <c:pt idx="4">
                  <c:v>3.9587750294464077</c:v>
                </c:pt>
                <c:pt idx="5">
                  <c:v>4.3403590944574555</c:v>
                </c:pt>
                <c:pt idx="6">
                  <c:v>5.4324683965402532</c:v>
                </c:pt>
                <c:pt idx="7">
                  <c:v>5.612125162972621</c:v>
                </c:pt>
                <c:pt idx="8">
                  <c:v>5.5102239532619279</c:v>
                </c:pt>
                <c:pt idx="9">
                  <c:v>4.8662790697674421</c:v>
                </c:pt>
                <c:pt idx="10">
                  <c:v>4.4314049586776862</c:v>
                </c:pt>
                <c:pt idx="11">
                  <c:v>4.2139201637666321</c:v>
                </c:pt>
                <c:pt idx="12">
                  <c:v>4.7866134751773046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17-4D81-96AE-CD320B1A9666}"/>
            </c:ext>
          </c:extLst>
        </c:ser>
        <c:ser>
          <c:idx val="0"/>
          <c:order val="2"/>
          <c:tx>
            <c:strRef>
              <c:f>'EM evol menusual lugar resd'!$K$51:$L$51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117-4D81-96AE-CD320B1A9666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resd'!$K$53:$K$65</c:f>
              <c:numCache>
                <c:formatCode>0.00</c:formatCode>
                <c:ptCount val="13"/>
                <c:pt idx="0">
                  <c:v>5.8047722342733188</c:v>
                </c:pt>
                <c:pt idx="1">
                  <c:v>3.5454545454545454</c:v>
                </c:pt>
                <c:pt idx="2">
                  <c:v>4.1143911439114387</c:v>
                </c:pt>
                <c:pt idx="3">
                  <c:v>4.7992895204262878</c:v>
                </c:pt>
                <c:pt idx="4">
                  <c:v>4.9326145552560643</c:v>
                </c:pt>
                <c:pt idx="5">
                  <c:v>4.7995337995337994</c:v>
                </c:pt>
                <c:pt idx="6">
                  <c:v>6.0435855263157894</c:v>
                </c:pt>
                <c:pt idx="7">
                  <c:v>5.8556461001164148</c:v>
                </c:pt>
                <c:pt idx="8">
                  <c:v>5.8552746294681777</c:v>
                </c:pt>
                <c:pt idx="9">
                  <c:v>5.0836909871244638</c:v>
                </c:pt>
                <c:pt idx="10">
                  <c:v>4.5080042689434361</c:v>
                </c:pt>
                <c:pt idx="11">
                  <c:v>4.8214285714285712</c:v>
                </c:pt>
                <c:pt idx="12">
                  <c:v>5.166019237883833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17-4D81-96AE-CD320B1A9666}"/>
            </c:ext>
          </c:extLst>
        </c:ser>
        <c:ser>
          <c:idx val="1"/>
          <c:order val="3"/>
          <c:tx>
            <c:strRef>
              <c:f>'EM evol menusual lugar resd'!$M$51:$N$51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117-4D81-96AE-CD320B1A966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117-4D81-96AE-CD320B1A9666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resd'!$M$53:$M$65</c:f>
              <c:numCache>
                <c:formatCode>0.00</c:formatCode>
                <c:ptCount val="13"/>
                <c:pt idx="0">
                  <c:v>5.9452736318407959</c:v>
                </c:pt>
                <c:pt idx="1">
                  <c:v>4.55</c:v>
                </c:pt>
                <c:pt idx="2">
                  <c:v>4.6043046357615891</c:v>
                </c:pt>
                <c:pt idx="3">
                  <c:v>4.6322350845948357</c:v>
                </c:pt>
                <c:pt idx="4">
                  <c:v>5.5975460122699383</c:v>
                </c:pt>
                <c:pt idx="5">
                  <c:v>4.7594529364440872</c:v>
                </c:pt>
                <c:pt idx="6">
                  <c:v>5.4310975609756094</c:v>
                </c:pt>
                <c:pt idx="7">
                  <c:v>5.8579207920792076</c:v>
                </c:pt>
                <c:pt idx="8">
                  <c:v>5.25</c:v>
                </c:pt>
                <c:pt idx="12">
                  <c:v>5.2747853239656521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117-4D81-96AE-CD320B1A9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117-4D81-96AE-CD320B1A966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resd'!$C$53:$C$65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4.8253012048192767</c:v>
                      </c:pt>
                      <c:pt idx="1">
                        <c:v>4.333333333333333</c:v>
                      </c:pt>
                      <c:pt idx="2">
                        <c:v>5.8444444444444441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3.7919020715630887</c:v>
                      </c:pt>
                      <c:pt idx="8">
                        <c:v>2.9774577332498433</c:v>
                      </c:pt>
                      <c:pt idx="9">
                        <c:v>4.8207171314741037</c:v>
                      </c:pt>
                      <c:pt idx="10">
                        <c:v>4.9330543933054392</c:v>
                      </c:pt>
                      <c:pt idx="11">
                        <c:v>4.270833333333333</c:v>
                      </c:pt>
                      <c:pt idx="12">
                        <c:v>3.8516443002507006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117-4D81-96AE-CD320B1A966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resd'!$N$52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117-4D81-96AE-CD320B1A966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117-4D81-96AE-CD320B1A966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117-4D81-96AE-CD320B1A966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117-4D81-96AE-CD320B1A966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117-4D81-96AE-CD320B1A966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117-4D81-96AE-CD320B1A966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117-4D81-96AE-CD320B1A966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117-4D81-96AE-CD320B1A966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117-4D81-96AE-CD320B1A966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117-4D81-96AE-CD320B1A966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117-4D81-96AE-CD320B1A966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117-4D81-96AE-CD320B1A966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117-4D81-96AE-CD320B1A9666}"/>
              </c:ext>
            </c:extLst>
          </c:dPt>
          <c:cat>
            <c:strRef>
              <c:f>'EM evol menusual lugar resd'!$B$53:$B$64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resd'!$N$53:$N$65</c:f>
              <c:numCache>
                <c:formatCode>0.00</c:formatCode>
                <c:ptCount val="13"/>
                <c:pt idx="0">
                  <c:v>0.14050139756747715</c:v>
                </c:pt>
                <c:pt idx="1">
                  <c:v>1.0045454545454544</c:v>
                </c:pt>
                <c:pt idx="2">
                  <c:v>0.48991349185015043</c:v>
                </c:pt>
                <c:pt idx="3">
                  <c:v>-0.16705443583145207</c:v>
                </c:pt>
                <c:pt idx="4">
                  <c:v>0.66493145701387402</c:v>
                </c:pt>
                <c:pt idx="5">
                  <c:v>-4.008086308971226E-2</c:v>
                </c:pt>
                <c:pt idx="6">
                  <c:v>-0.61248796534018002</c:v>
                </c:pt>
                <c:pt idx="7">
                  <c:v>2.2746919627927298E-3</c:v>
                </c:pt>
                <c:pt idx="8">
                  <c:v>-0.60527462946817767</c:v>
                </c:pt>
                <c:pt idx="12">
                  <c:v>-1.9045235413649664E-2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117-4D81-96AE-CD320B1A9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102-4298-9993-5F52B52F45AC}"/>
              </c:ext>
            </c:extLst>
          </c:dPt>
          <c:val>
            <c:numRef>
              <c:f>'EM evol menusual lugar resd'!$I$75:$I$87</c:f>
              <c:numCache>
                <c:formatCode>0.00</c:formatCode>
                <c:ptCount val="13"/>
                <c:pt idx="0">
                  <c:v>4.361380798274002</c:v>
                </c:pt>
                <c:pt idx="1">
                  <c:v>3.6546310832025117</c:v>
                </c:pt>
                <c:pt idx="2">
                  <c:v>3.2065637065637067</c:v>
                </c:pt>
                <c:pt idx="3">
                  <c:v>2.5206611570247932</c:v>
                </c:pt>
                <c:pt idx="4">
                  <c:v>2.9297597042513863</c:v>
                </c:pt>
                <c:pt idx="5">
                  <c:v>2.775473399458972</c:v>
                </c:pt>
                <c:pt idx="6">
                  <c:v>2.9253037884203001</c:v>
                </c:pt>
                <c:pt idx="7">
                  <c:v>3.095080763582966</c:v>
                </c:pt>
                <c:pt idx="8">
                  <c:v>2.8063694267515924</c:v>
                </c:pt>
                <c:pt idx="9">
                  <c:v>2.5399644760213143</c:v>
                </c:pt>
                <c:pt idx="10">
                  <c:v>2.5729013254786453</c:v>
                </c:pt>
                <c:pt idx="11">
                  <c:v>2.5320088300220749</c:v>
                </c:pt>
                <c:pt idx="12">
                  <c:v>2.8975793229819655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02-4298-9993-5F52B52F45AC}"/>
            </c:ext>
          </c:extLst>
        </c:ser>
        <c:ser>
          <c:idx val="0"/>
          <c:order val="2"/>
          <c:tx>
            <c:strRef>
              <c:f>'EM evol menusual lugar resd'!$K$73:$L$73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102-4298-9993-5F52B52F45AC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resd'!$K$75:$K$87</c:f>
              <c:numCache>
                <c:formatCode>0.00</c:formatCode>
                <c:ptCount val="13"/>
                <c:pt idx="0">
                  <c:v>3.444833625218914</c:v>
                </c:pt>
                <c:pt idx="1">
                  <c:v>1.9333333333333333</c:v>
                </c:pt>
                <c:pt idx="2">
                  <c:v>2.6110019646365421</c:v>
                </c:pt>
                <c:pt idx="3">
                  <c:v>3.096341463414634</c:v>
                </c:pt>
                <c:pt idx="4">
                  <c:v>2.043032786885246</c:v>
                </c:pt>
                <c:pt idx="5">
                  <c:v>2.7691897654584223</c:v>
                </c:pt>
                <c:pt idx="6">
                  <c:v>2.6926795580110499</c:v>
                </c:pt>
                <c:pt idx="7">
                  <c:v>2.4124620060790272</c:v>
                </c:pt>
                <c:pt idx="8">
                  <c:v>2.6794795978710821</c:v>
                </c:pt>
                <c:pt idx="9">
                  <c:v>2.6699256941728589</c:v>
                </c:pt>
                <c:pt idx="10">
                  <c:v>4.0245231607629428</c:v>
                </c:pt>
                <c:pt idx="11">
                  <c:v>2.1342281879194629</c:v>
                </c:pt>
                <c:pt idx="12">
                  <c:v>2.6058445798868091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102-4298-9993-5F52B52F45AC}"/>
            </c:ext>
          </c:extLst>
        </c:ser>
        <c:ser>
          <c:idx val="1"/>
          <c:order val="3"/>
          <c:tx>
            <c:strRef>
              <c:f>'EM evol menusual lugar resd'!$M$73:$N$73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102-4298-9993-5F52B52F45A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102-4298-9993-5F52B52F45AC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resd'!$M$75:$M$87</c:f>
              <c:numCache>
                <c:formatCode>0.00</c:formatCode>
                <c:ptCount val="13"/>
                <c:pt idx="0">
                  <c:v>2.439516129032258</c:v>
                </c:pt>
                <c:pt idx="1">
                  <c:v>2.4962962962962965</c:v>
                </c:pt>
                <c:pt idx="2">
                  <c:v>2.1323076923076925</c:v>
                </c:pt>
                <c:pt idx="3">
                  <c:v>2.7497781721384205</c:v>
                </c:pt>
                <c:pt idx="4">
                  <c:v>2.4108527131782944</c:v>
                </c:pt>
                <c:pt idx="5">
                  <c:v>2.1179273377010124</c:v>
                </c:pt>
                <c:pt idx="6">
                  <c:v>2.6074561403508771</c:v>
                </c:pt>
                <c:pt idx="7">
                  <c:v>3.2130421953378576</c:v>
                </c:pt>
                <c:pt idx="8">
                  <c:v>3.0464354001638898</c:v>
                </c:pt>
                <c:pt idx="12">
                  <c:v>2.7651463998526795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102-4298-9993-5F52B52F45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102-4298-9993-5F52B52F45A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resd'!$C$75:$C$87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2.4404040404040406</c:v>
                      </c:pt>
                      <c:pt idx="1">
                        <c:v>3.0010905125408942</c:v>
                      </c:pt>
                      <c:pt idx="2">
                        <c:v>3.0541310541310542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2.8167539267015709</c:v>
                      </c:pt>
                      <c:pt idx="8">
                        <c:v>2.4267114657706848</c:v>
                      </c:pt>
                      <c:pt idx="9">
                        <c:v>2.1238475722188075</c:v>
                      </c:pt>
                      <c:pt idx="10">
                        <c:v>3.767195767195767</c:v>
                      </c:pt>
                      <c:pt idx="11">
                        <c:v>2.0899808551372048</c:v>
                      </c:pt>
                      <c:pt idx="12">
                        <c:v>2.5455179978063613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102-4298-9993-5F52B52F45A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resd'!$N$74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102-4298-9993-5F52B52F45A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102-4298-9993-5F52B52F45A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102-4298-9993-5F52B52F45A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102-4298-9993-5F52B52F45A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102-4298-9993-5F52B52F45A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102-4298-9993-5F52B52F45A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102-4298-9993-5F52B52F45A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102-4298-9993-5F52B52F45A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102-4298-9993-5F52B52F45A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102-4298-9993-5F52B52F45A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102-4298-9993-5F52B52F45A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102-4298-9993-5F52B52F45A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102-4298-9993-5F52B52F45AC}"/>
              </c:ext>
            </c:extLst>
          </c:dPt>
          <c:cat>
            <c:strRef>
              <c:f>'EM evol menusual lugar resd'!$B$75:$B$86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resd'!$N$75:$N$87</c:f>
              <c:numCache>
                <c:formatCode>0.00</c:formatCode>
                <c:ptCount val="13"/>
                <c:pt idx="0">
                  <c:v>-1.005317496186656</c:v>
                </c:pt>
                <c:pt idx="1">
                  <c:v>0.56296296296296311</c:v>
                </c:pt>
                <c:pt idx="2">
                  <c:v>-0.47869427232884965</c:v>
                </c:pt>
                <c:pt idx="3">
                  <c:v>-0.34656329127621355</c:v>
                </c:pt>
                <c:pt idx="4">
                  <c:v>0.36781992629304838</c:v>
                </c:pt>
                <c:pt idx="5">
                  <c:v>-0.65126242775740995</c:v>
                </c:pt>
                <c:pt idx="6">
                  <c:v>-8.5223417660172718E-2</c:v>
                </c:pt>
                <c:pt idx="7">
                  <c:v>0.80058018925883045</c:v>
                </c:pt>
                <c:pt idx="8">
                  <c:v>0.36695580229280766</c:v>
                </c:pt>
                <c:pt idx="12">
                  <c:v>0.19087115826654166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102-4298-9993-5F52B52F45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7D5-4FA5-9020-DBC65329F4A2}"/>
              </c:ext>
            </c:extLst>
          </c:dPt>
          <c:val>
            <c:numRef>
              <c:f>'Viajeros entr evol mensu TF'!$I$97:$I$109</c:f>
              <c:numCache>
                <c:formatCode>#,##0</c:formatCode>
                <c:ptCount val="13"/>
                <c:pt idx="0">
                  <c:v>20841</c:v>
                </c:pt>
                <c:pt idx="1">
                  <c:v>21940</c:v>
                </c:pt>
                <c:pt idx="2">
                  <c:v>19906</c:v>
                </c:pt>
                <c:pt idx="3">
                  <c:v>19500</c:v>
                </c:pt>
                <c:pt idx="4">
                  <c:v>19075</c:v>
                </c:pt>
                <c:pt idx="5">
                  <c:v>17566</c:v>
                </c:pt>
                <c:pt idx="6">
                  <c:v>19975</c:v>
                </c:pt>
                <c:pt idx="7">
                  <c:v>21237</c:v>
                </c:pt>
                <c:pt idx="8">
                  <c:v>18724</c:v>
                </c:pt>
                <c:pt idx="9">
                  <c:v>22630</c:v>
                </c:pt>
                <c:pt idx="10">
                  <c:v>22923</c:v>
                </c:pt>
                <c:pt idx="11">
                  <c:v>22259</c:v>
                </c:pt>
                <c:pt idx="12">
                  <c:v>246576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D5-4FA5-9020-DBC65329F4A2}"/>
            </c:ext>
          </c:extLst>
        </c:ser>
        <c:ser>
          <c:idx val="0"/>
          <c:order val="2"/>
          <c:tx>
            <c:strRef>
              <c:f>'Viajeros entr evol mensu TF'!$K$95:$L$95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7D5-4FA5-9020-DBC65329F4A2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TF'!$K$97:$K$109</c:f>
              <c:numCache>
                <c:formatCode>#,##0</c:formatCode>
                <c:ptCount val="13"/>
                <c:pt idx="0">
                  <c:v>21618</c:v>
                </c:pt>
                <c:pt idx="1">
                  <c:v>22578</c:v>
                </c:pt>
                <c:pt idx="2">
                  <c:v>25016</c:v>
                </c:pt>
                <c:pt idx="3">
                  <c:v>20822</c:v>
                </c:pt>
                <c:pt idx="4">
                  <c:v>21243</c:v>
                </c:pt>
                <c:pt idx="5">
                  <c:v>20107</c:v>
                </c:pt>
                <c:pt idx="6">
                  <c:v>20781</c:v>
                </c:pt>
                <c:pt idx="7">
                  <c:v>20311</c:v>
                </c:pt>
                <c:pt idx="8">
                  <c:v>18344</c:v>
                </c:pt>
                <c:pt idx="9">
                  <c:v>23852</c:v>
                </c:pt>
                <c:pt idx="10">
                  <c:v>22059</c:v>
                </c:pt>
                <c:pt idx="11">
                  <c:v>21891</c:v>
                </c:pt>
                <c:pt idx="12">
                  <c:v>258622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7D5-4FA5-9020-DBC65329F4A2}"/>
            </c:ext>
          </c:extLst>
        </c:ser>
        <c:ser>
          <c:idx val="1"/>
          <c:order val="3"/>
          <c:tx>
            <c:strRef>
              <c:f>'Viajeros entr evol mensu TF'!$M$95:$N$95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7D5-4FA5-9020-DBC65329F4A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7D5-4FA5-9020-DBC65329F4A2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TF'!$M$97:$M$109</c:f>
              <c:numCache>
                <c:formatCode>#,##0</c:formatCode>
                <c:ptCount val="13"/>
                <c:pt idx="0">
                  <c:v>21677</c:v>
                </c:pt>
                <c:pt idx="1">
                  <c:v>22615</c:v>
                </c:pt>
                <c:pt idx="2">
                  <c:v>23125</c:v>
                </c:pt>
                <c:pt idx="3">
                  <c:v>21253</c:v>
                </c:pt>
                <c:pt idx="4">
                  <c:v>17689</c:v>
                </c:pt>
                <c:pt idx="5">
                  <c:v>20237</c:v>
                </c:pt>
                <c:pt idx="6">
                  <c:v>21752</c:v>
                </c:pt>
                <c:pt idx="7">
                  <c:v>20050</c:v>
                </c:pt>
                <c:pt idx="8">
                  <c:v>18796</c:v>
                </c:pt>
                <c:pt idx="12">
                  <c:v>187194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7D5-4FA5-9020-DBC65329F4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07D5-4FA5-9020-DBC65329F4A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20204</c:v>
                      </c:pt>
                      <c:pt idx="1">
                        <c:v>21087</c:v>
                      </c:pt>
                      <c:pt idx="2">
                        <c:v>8379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5250</c:v>
                      </c:pt>
                      <c:pt idx="8">
                        <c:v>1747</c:v>
                      </c:pt>
                      <c:pt idx="9">
                        <c:v>2909</c:v>
                      </c:pt>
                      <c:pt idx="10">
                        <c:v>3366</c:v>
                      </c:pt>
                      <c:pt idx="11">
                        <c:v>4406</c:v>
                      </c:pt>
                      <c:pt idx="12">
                        <c:v>69842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07D5-4FA5-9020-DBC65329F4A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7D5-4FA5-9020-DBC65329F4A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7D5-4FA5-9020-DBC65329F4A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7D5-4FA5-9020-DBC65329F4A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7D5-4FA5-9020-DBC65329F4A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7D5-4FA5-9020-DBC65329F4A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7D5-4FA5-9020-DBC65329F4A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7D5-4FA5-9020-DBC65329F4A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7D5-4FA5-9020-DBC65329F4A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7D5-4FA5-9020-DBC65329F4A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7D5-4FA5-9020-DBC65329F4A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7D5-4FA5-9020-DBC65329F4A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07D5-4FA5-9020-DBC65329F4A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07D5-4FA5-9020-DBC65329F4A2}"/>
              </c:ext>
            </c:extLst>
          </c:dPt>
          <c:cat>
            <c:strRef>
              <c:f>'Viajeros entr evol mensu TF'!$B$97:$B$108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TF'!$N$97:$N$109</c:f>
              <c:numCache>
                <c:formatCode>0.0%</c:formatCode>
                <c:ptCount val="13"/>
                <c:pt idx="0">
                  <c:v>2.729207142196266E-3</c:v>
                </c:pt>
                <c:pt idx="1">
                  <c:v>1.6387633979979555E-3</c:v>
                </c:pt>
                <c:pt idx="2">
                  <c:v>-7.559162136232811E-2</c:v>
                </c:pt>
                <c:pt idx="3">
                  <c:v>2.0699260397656349E-2</c:v>
                </c:pt>
                <c:pt idx="4">
                  <c:v>-0.16730217012662996</c:v>
                </c:pt>
                <c:pt idx="5">
                  <c:v>6.4654100561993832E-3</c:v>
                </c:pt>
                <c:pt idx="6">
                  <c:v>4.6725374139839237E-2</c:v>
                </c:pt>
                <c:pt idx="7">
                  <c:v>-1.2850179705578224E-2</c:v>
                </c:pt>
                <c:pt idx="8">
                  <c:v>2.4640209332751795E-2</c:v>
                </c:pt>
                <c:pt idx="12">
                  <c:v>-1.9002201027146004E-2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7D5-4FA5-9020-DBC65329F4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566-4590-BA6C-A09499BC7EA4}"/>
              </c:ext>
            </c:extLst>
          </c:dPt>
          <c:val>
            <c:numRef>
              <c:f>'EM evol menusual lugar resd'!$I$97:$I$109</c:f>
              <c:numCache>
                <c:formatCode>0.00</c:formatCode>
                <c:ptCount val="13"/>
                <c:pt idx="0">
                  <c:v>7.4965692625113958</c:v>
                </c:pt>
                <c:pt idx="1">
                  <c:v>6.916271649954421</c:v>
                </c:pt>
                <c:pt idx="2">
                  <c:v>7.0174319300713357</c:v>
                </c:pt>
                <c:pt idx="3">
                  <c:v>6.8450769230769231</c:v>
                </c:pt>
                <c:pt idx="4">
                  <c:v>6.9376146788990827</c:v>
                </c:pt>
                <c:pt idx="5">
                  <c:v>7.4332802003871112</c:v>
                </c:pt>
                <c:pt idx="6">
                  <c:v>7.5134418022528164</c:v>
                </c:pt>
                <c:pt idx="7">
                  <c:v>7.7616424165371756</c:v>
                </c:pt>
                <c:pt idx="8">
                  <c:v>7.3991134372997225</c:v>
                </c:pt>
                <c:pt idx="9">
                  <c:v>7.2059213433495364</c:v>
                </c:pt>
                <c:pt idx="10">
                  <c:v>6.9781878462679403</c:v>
                </c:pt>
                <c:pt idx="11">
                  <c:v>6.8337751022058493</c:v>
                </c:pt>
                <c:pt idx="12">
                  <c:v>7.1890816624489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66-4590-BA6C-A09499BC7EA4}"/>
            </c:ext>
          </c:extLst>
        </c:ser>
        <c:ser>
          <c:idx val="0"/>
          <c:order val="2"/>
          <c:tx>
            <c:strRef>
              <c:f>'EM evol menusual lugar resd'!$K$95:$L$95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566-4590-BA6C-A09499BC7EA4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resd'!$K$97:$K$109</c:f>
              <c:numCache>
                <c:formatCode>0.00</c:formatCode>
                <c:ptCount val="13"/>
                <c:pt idx="0">
                  <c:v>7.8066888703857895</c:v>
                </c:pt>
                <c:pt idx="1">
                  <c:v>7.2371334927805826</c:v>
                </c:pt>
                <c:pt idx="2">
                  <c:v>6.7771826031339941</c:v>
                </c:pt>
                <c:pt idx="3">
                  <c:v>7.1761118048218231</c:v>
                </c:pt>
                <c:pt idx="4">
                  <c:v>7.215223838440898</c:v>
                </c:pt>
                <c:pt idx="5">
                  <c:v>7.3506738946635499</c:v>
                </c:pt>
                <c:pt idx="6">
                  <c:v>7.632933930032241</c:v>
                </c:pt>
                <c:pt idx="7">
                  <c:v>7.9521933927428483</c:v>
                </c:pt>
                <c:pt idx="8">
                  <c:v>7.3389119058002619</c:v>
                </c:pt>
                <c:pt idx="9">
                  <c:v>6.9657051819553919</c:v>
                </c:pt>
                <c:pt idx="10">
                  <c:v>7.1145564168819986</c:v>
                </c:pt>
                <c:pt idx="11">
                  <c:v>7.0803069754693713</c:v>
                </c:pt>
                <c:pt idx="12">
                  <c:v>7.2887844034923557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566-4590-BA6C-A09499BC7EA4}"/>
            </c:ext>
          </c:extLst>
        </c:ser>
        <c:ser>
          <c:idx val="1"/>
          <c:order val="3"/>
          <c:tx>
            <c:strRef>
              <c:f>'EM evol menusual lugar resd'!$M$95:$N$95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566-4590-BA6C-A09499BC7EA4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566-4590-BA6C-A09499BC7EA4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resd'!$M$97:$M$109</c:f>
              <c:numCache>
                <c:formatCode>0.00</c:formatCode>
                <c:ptCount val="13"/>
                <c:pt idx="0">
                  <c:v>7.6465378050468242</c:v>
                </c:pt>
                <c:pt idx="1">
                  <c:v>7.3257572407694012</c:v>
                </c:pt>
                <c:pt idx="2">
                  <c:v>7.0455783783783783</c:v>
                </c:pt>
                <c:pt idx="3">
                  <c:v>7.1445442996282882</c:v>
                </c:pt>
                <c:pt idx="4">
                  <c:v>7.6977217479789699</c:v>
                </c:pt>
                <c:pt idx="5">
                  <c:v>7.2467262934229382</c:v>
                </c:pt>
                <c:pt idx="6">
                  <c:v>7.6586061051857302</c:v>
                </c:pt>
                <c:pt idx="7">
                  <c:v>8.2997506234413958</c:v>
                </c:pt>
                <c:pt idx="8">
                  <c:v>7.6414130666099167</c:v>
                </c:pt>
                <c:pt idx="12">
                  <c:v>7.5090173830357809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566-4590-BA6C-A09499BC7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566-4590-BA6C-A09499BC7EA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resd'!$C$97:$C$109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7.6712532171847156</c:v>
                      </c:pt>
                      <c:pt idx="1">
                        <c:v>7.9861051832882817</c:v>
                      </c:pt>
                      <c:pt idx="2">
                        <c:v>9.565103234276167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6.8154285714285718</c:v>
                      </c:pt>
                      <c:pt idx="8">
                        <c:v>7.0841442472810536</c:v>
                      </c:pt>
                      <c:pt idx="9">
                        <c:v>5.1605362667583359</c:v>
                      </c:pt>
                      <c:pt idx="10">
                        <c:v>7.2765894236482476</c:v>
                      </c:pt>
                      <c:pt idx="11">
                        <c:v>6.5108942351339083</c:v>
                      </c:pt>
                      <c:pt idx="12">
                        <c:v>7.6399587640674662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566-4590-BA6C-A09499BC7EA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resd'!$N$96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566-4590-BA6C-A09499BC7EA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566-4590-BA6C-A09499BC7EA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566-4590-BA6C-A09499BC7EA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566-4590-BA6C-A09499BC7EA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566-4590-BA6C-A09499BC7EA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566-4590-BA6C-A09499BC7EA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566-4590-BA6C-A09499BC7EA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566-4590-BA6C-A09499BC7EA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566-4590-BA6C-A09499BC7EA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566-4590-BA6C-A09499BC7EA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566-4590-BA6C-A09499BC7EA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566-4590-BA6C-A09499BC7EA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566-4590-BA6C-A09499BC7EA4}"/>
              </c:ext>
            </c:extLst>
          </c:dPt>
          <c:cat>
            <c:strRef>
              <c:f>'EM evol menusual lugar resd'!$B$97:$B$108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resd'!$N$97:$N$109</c:f>
              <c:numCache>
                <c:formatCode>0.00</c:formatCode>
                <c:ptCount val="13"/>
                <c:pt idx="0">
                  <c:v>-0.16015106533896528</c:v>
                </c:pt>
                <c:pt idx="1">
                  <c:v>8.8623747988818558E-2</c:v>
                </c:pt>
                <c:pt idx="2">
                  <c:v>0.26839577524438418</c:v>
                </c:pt>
                <c:pt idx="3">
                  <c:v>-3.1567505193534906E-2</c:v>
                </c:pt>
                <c:pt idx="4">
                  <c:v>0.48249790953807192</c:v>
                </c:pt>
                <c:pt idx="5">
                  <c:v>-0.10394760124061175</c:v>
                </c:pt>
                <c:pt idx="6">
                  <c:v>2.5672175153489185E-2</c:v>
                </c:pt>
                <c:pt idx="7">
                  <c:v>0.34755723069854749</c:v>
                </c:pt>
                <c:pt idx="8">
                  <c:v>0.30250116080965483</c:v>
                </c:pt>
                <c:pt idx="12">
                  <c:v>0.13579130610464141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566-4590-BA6C-A09499BC7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resd'!$I$117:$J$117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EBB-42A4-9580-8C13063FCD38}"/>
              </c:ext>
            </c:extLst>
          </c:dPt>
          <c:val>
            <c:numRef>
              <c:f>'EM evol menusual lugar resd'!$I$119:$I$131</c:f>
              <c:numCache>
                <c:formatCode>0.00</c:formatCode>
                <c:ptCount val="13"/>
                <c:pt idx="0">
                  <c:v>7.6294527620030976</c:v>
                </c:pt>
                <c:pt idx="1">
                  <c:v>6.7291277985074629</c:v>
                </c:pt>
                <c:pt idx="2">
                  <c:v>6.494187655687794</c:v>
                </c:pt>
                <c:pt idx="3">
                  <c:v>6.8568426950553301</c:v>
                </c:pt>
                <c:pt idx="4">
                  <c:v>6.6725205448609701</c:v>
                </c:pt>
                <c:pt idx="5">
                  <c:v>7.1928683291169735</c:v>
                </c:pt>
                <c:pt idx="6">
                  <c:v>7.0888216261350587</c:v>
                </c:pt>
                <c:pt idx="7">
                  <c:v>7.4306201550387598</c:v>
                </c:pt>
                <c:pt idx="8">
                  <c:v>7.533498492029298</c:v>
                </c:pt>
                <c:pt idx="9">
                  <c:v>7.0412095510279338</c:v>
                </c:pt>
                <c:pt idx="10">
                  <c:v>7.0028126352228472</c:v>
                </c:pt>
                <c:pt idx="11">
                  <c:v>6.727220366317245</c:v>
                </c:pt>
                <c:pt idx="12">
                  <c:v>7.0465085514504393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BB-42A4-9580-8C13063FCD38}"/>
            </c:ext>
          </c:extLst>
        </c:ser>
        <c:ser>
          <c:idx val="0"/>
          <c:order val="2"/>
          <c:tx>
            <c:strRef>
              <c:f>'EM evol menusual lugar resd'!$K$117:$L$117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EBB-42A4-9580-8C13063FCD38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resd'!$K$119:$K$131</c:f>
              <c:numCache>
                <c:formatCode>0.00</c:formatCode>
                <c:ptCount val="13"/>
                <c:pt idx="0">
                  <c:v>7.7992768836015864</c:v>
                </c:pt>
                <c:pt idx="1">
                  <c:v>7.3254189944134076</c:v>
                </c:pt>
                <c:pt idx="2">
                  <c:v>6.58644785600847</c:v>
                </c:pt>
                <c:pt idx="3">
                  <c:v>7.2563217110393223</c:v>
                </c:pt>
                <c:pt idx="4">
                  <c:v>7.2387146878943796</c:v>
                </c:pt>
                <c:pt idx="5">
                  <c:v>7.4717546914296769</c:v>
                </c:pt>
                <c:pt idx="6">
                  <c:v>7.5208927342444207</c:v>
                </c:pt>
                <c:pt idx="7">
                  <c:v>8.2123629112662009</c:v>
                </c:pt>
                <c:pt idx="8">
                  <c:v>7.5409499080385158</c:v>
                </c:pt>
                <c:pt idx="9">
                  <c:v>7.3660401115208201</c:v>
                </c:pt>
                <c:pt idx="10">
                  <c:v>7.3525042444821729</c:v>
                </c:pt>
                <c:pt idx="11">
                  <c:v>6.8791851771589556</c:v>
                </c:pt>
                <c:pt idx="12">
                  <c:v>7.3817870332905757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EBB-42A4-9580-8C13063FCD38}"/>
            </c:ext>
          </c:extLst>
        </c:ser>
        <c:ser>
          <c:idx val="1"/>
          <c:order val="3"/>
          <c:tx>
            <c:strRef>
              <c:f>'EM evol menusual lugar resd'!$M$117:$N$117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EBB-42A4-9580-8C13063FCD3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EBB-42A4-9580-8C13063FCD38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resd'!$M$119:$M$131</c:f>
              <c:numCache>
                <c:formatCode>0.00</c:formatCode>
                <c:ptCount val="13"/>
                <c:pt idx="0">
                  <c:v>8.2206811005863774</c:v>
                </c:pt>
                <c:pt idx="1">
                  <c:v>7.6376719576719578</c:v>
                </c:pt>
                <c:pt idx="2">
                  <c:v>7.1928329509450455</c:v>
                </c:pt>
                <c:pt idx="3">
                  <c:v>7.4496042216358838</c:v>
                </c:pt>
                <c:pt idx="4">
                  <c:v>7.6742393092105265</c:v>
                </c:pt>
                <c:pt idx="5">
                  <c:v>7.4459115805946796</c:v>
                </c:pt>
                <c:pt idx="6">
                  <c:v>7.4017708909795239</c:v>
                </c:pt>
                <c:pt idx="7">
                  <c:v>8.1807273741977493</c:v>
                </c:pt>
                <c:pt idx="8">
                  <c:v>7.8828231829178499</c:v>
                </c:pt>
                <c:pt idx="12">
                  <c:v>7.6754358053592124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EBB-42A4-9580-8C13063FC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resd'!$C$117:$D$117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EBB-42A4-9580-8C13063FCD3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resd'!$C$119:$C$131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8.6530306522240146</c:v>
                      </c:pt>
                      <c:pt idx="1">
                        <c:v>9.1680054304785603</c:v>
                      </c:pt>
                      <c:pt idx="2">
                        <c:v>9.9803084223013041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6.7682119205298017</c:v>
                      </c:pt>
                      <c:pt idx="8">
                        <c:v>5.57085020242915</c:v>
                      </c:pt>
                      <c:pt idx="9">
                        <c:v>3.9648609077598831</c:v>
                      </c:pt>
                      <c:pt idx="10">
                        <c:v>7.705363703159442</c:v>
                      </c:pt>
                      <c:pt idx="11">
                        <c:v>7.0630990415335466</c:v>
                      </c:pt>
                      <c:pt idx="12">
                        <c:v>8.6881922354654506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EBB-42A4-9580-8C13063FCD3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resd'!$N$118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EBB-42A4-9580-8C13063FCD3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EBB-42A4-9580-8C13063FCD3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EBB-42A4-9580-8C13063FCD3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EBB-42A4-9580-8C13063FCD3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EBB-42A4-9580-8C13063FCD3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EBB-42A4-9580-8C13063FCD3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EBB-42A4-9580-8C13063FCD3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EBB-42A4-9580-8C13063FCD3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EBB-42A4-9580-8C13063FCD3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EBB-42A4-9580-8C13063FCD3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EBB-42A4-9580-8C13063FCD3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EBB-42A4-9580-8C13063FCD3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EBB-42A4-9580-8C13063FCD38}"/>
              </c:ext>
            </c:extLst>
          </c:dPt>
          <c:cat>
            <c:strRef>
              <c:f>'EM evol menusual lugar resd'!$B$119:$B$130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resd'!$N$119:$N$131</c:f>
              <c:numCache>
                <c:formatCode>0.00</c:formatCode>
                <c:ptCount val="13"/>
                <c:pt idx="0">
                  <c:v>0.42140421698479091</c:v>
                </c:pt>
                <c:pt idx="1">
                  <c:v>0.31225296325855023</c:v>
                </c:pt>
                <c:pt idx="2">
                  <c:v>0.60638509493657544</c:v>
                </c:pt>
                <c:pt idx="3">
                  <c:v>0.19328251059656143</c:v>
                </c:pt>
                <c:pt idx="4">
                  <c:v>0.435524621316147</c:v>
                </c:pt>
                <c:pt idx="5">
                  <c:v>-2.584311083499724E-2</c:v>
                </c:pt>
                <c:pt idx="6">
                  <c:v>-0.11912184326489683</c:v>
                </c:pt>
                <c:pt idx="7">
                  <c:v>-3.1635537068451569E-2</c:v>
                </c:pt>
                <c:pt idx="8">
                  <c:v>0.34187327487933405</c:v>
                </c:pt>
                <c:pt idx="12">
                  <c:v>0.23473292182349503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EBB-42A4-9580-8C13063FC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6198377665"/>
          <c:y val="0.14880802061904425"/>
          <c:w val="0.85077925409699728"/>
          <c:h val="0.44673508775094251"/>
        </c:manualLayout>
      </c:layout>
      <c:lineChart>
        <c:grouping val="standard"/>
        <c:varyColors val="0"/>
        <c:ser>
          <c:idx val="5"/>
          <c:order val="2"/>
          <c:tx>
            <c:strRef>
              <c:f>'EM evol menusual lugar resd'!$I$139:$J$139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015-4A2F-B49D-DD7DAF216726}"/>
              </c:ext>
            </c:extLst>
          </c:dPt>
          <c:val>
            <c:numRef>
              <c:f>'EM evol menusual lugar resd'!$I$141:$I$153</c:f>
              <c:numCache>
                <c:formatCode>0.00</c:formatCode>
                <c:ptCount val="13"/>
                <c:pt idx="0">
                  <c:v>8.3240911891558849</c:v>
                </c:pt>
                <c:pt idx="1">
                  <c:v>7.9921135646687693</c:v>
                </c:pt>
                <c:pt idx="2">
                  <c:v>8.19392523364486</c:v>
                </c:pt>
                <c:pt idx="3">
                  <c:v>7.7774952320406863</c:v>
                </c:pt>
                <c:pt idx="4">
                  <c:v>7.8512089274643522</c:v>
                </c:pt>
                <c:pt idx="5">
                  <c:v>10.041487839771101</c:v>
                </c:pt>
                <c:pt idx="6">
                  <c:v>9.5324041811846687</c:v>
                </c:pt>
                <c:pt idx="7">
                  <c:v>9.9661354581673312</c:v>
                </c:pt>
                <c:pt idx="8">
                  <c:v>8.6907849829351544</c:v>
                </c:pt>
                <c:pt idx="9">
                  <c:v>9.565085771947528</c:v>
                </c:pt>
                <c:pt idx="10">
                  <c:v>8.4321148825065269</c:v>
                </c:pt>
                <c:pt idx="11">
                  <c:v>8.8064864864864862</c:v>
                </c:pt>
                <c:pt idx="12">
                  <c:v>8.7192205917729133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15-4A2F-B49D-DD7DAF216726}"/>
            </c:ext>
          </c:extLst>
        </c:ser>
        <c:ser>
          <c:idx val="0"/>
          <c:order val="3"/>
          <c:tx>
            <c:strRef>
              <c:f>'EM evol menusual lugar resd'!$K$139:$L$139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015-4A2F-B49D-DD7DAF216726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resd'!$K$141:$K$153</c:f>
              <c:numCache>
                <c:formatCode>0.00</c:formatCode>
                <c:ptCount val="13"/>
                <c:pt idx="0">
                  <c:v>9.6112149532710287</c:v>
                </c:pt>
                <c:pt idx="1">
                  <c:v>9.1799802761341223</c:v>
                </c:pt>
                <c:pt idx="2">
                  <c:v>7.9189031505250878</c:v>
                </c:pt>
                <c:pt idx="3">
                  <c:v>9.9245283018867916</c:v>
                </c:pt>
                <c:pt idx="4">
                  <c:v>9.1011302795954787</c:v>
                </c:pt>
                <c:pt idx="5">
                  <c:v>8.6592379583033789</c:v>
                </c:pt>
                <c:pt idx="6">
                  <c:v>9.7504288164665525</c:v>
                </c:pt>
                <c:pt idx="7">
                  <c:v>9.4147727272727266</c:v>
                </c:pt>
                <c:pt idx="8">
                  <c:v>9.2540394973070015</c:v>
                </c:pt>
                <c:pt idx="9">
                  <c:v>8.8236196319018401</c:v>
                </c:pt>
                <c:pt idx="10">
                  <c:v>8.2161835748792278</c:v>
                </c:pt>
                <c:pt idx="11">
                  <c:v>8.446748878923767</c:v>
                </c:pt>
                <c:pt idx="12">
                  <c:v>8.8693322149214779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015-4A2F-B49D-DD7DAF216726}"/>
            </c:ext>
          </c:extLst>
        </c:ser>
        <c:ser>
          <c:idx val="1"/>
          <c:order val="4"/>
          <c:tx>
            <c:strRef>
              <c:f>'EM evol menusual lugar resd'!$M$139:$N$139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015-4A2F-B49D-DD7DAF21672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015-4A2F-B49D-DD7DAF216726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resd'!$M$141:$M$153</c:f>
              <c:numCache>
                <c:formatCode>0.00</c:formatCode>
                <c:ptCount val="13"/>
                <c:pt idx="0">
                  <c:v>8.2321326472269867</c:v>
                </c:pt>
                <c:pt idx="1">
                  <c:v>8.9388221841052022</c:v>
                </c:pt>
                <c:pt idx="2">
                  <c:v>8.2895294616362865</c:v>
                </c:pt>
                <c:pt idx="3">
                  <c:v>7.8938468764678253</c:v>
                </c:pt>
                <c:pt idx="4">
                  <c:v>12.54282267792521</c:v>
                </c:pt>
                <c:pt idx="5">
                  <c:v>9.0062460961898818</c:v>
                </c:pt>
                <c:pt idx="6">
                  <c:v>9.8148606811145509</c:v>
                </c:pt>
                <c:pt idx="7">
                  <c:v>9.781685467816855</c:v>
                </c:pt>
                <c:pt idx="8">
                  <c:v>9.7643636363636368</c:v>
                </c:pt>
                <c:pt idx="12">
                  <c:v>9.0677932005632673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015-4A2F-B49D-DD7DAF216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resd'!$C$139:$D$139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015-4A2F-B49D-DD7DAF21672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resd'!$C$141:$C$153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6.9177173191771733</c:v>
                      </c:pt>
                      <c:pt idx="1">
                        <c:v>7.3316831683168315</c:v>
                      </c:pt>
                      <c:pt idx="2">
                        <c:v>10.029032258064516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7.3946784922394677</c:v>
                      </c:pt>
                      <c:pt idx="8">
                        <c:v>17.828947368421051</c:v>
                      </c:pt>
                      <c:pt idx="9">
                        <c:v>4.7731958762886597</c:v>
                      </c:pt>
                      <c:pt idx="10">
                        <c:v>7.6947194719471943</c:v>
                      </c:pt>
                      <c:pt idx="11">
                        <c:v>7.9045454545454543</c:v>
                      </c:pt>
                      <c:pt idx="12">
                        <c:v>7.5590863952333667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015-4A2F-B49D-DD7DAF216726}"/>
                  </c:ext>
                </c:extLst>
              </c15:ser>
            </c15:filteredLineSeries>
            <c15:filteredLineSeries>
              <c15:ser>
                <c:idx val="6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'EM evol menusual lugar resd'!$G$139:$H$139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5400" cap="rnd">
                    <a:solidFill>
                      <a:srgbClr val="0047BA">
                        <a:lumMod val="20000"/>
                        <a:lumOff val="80000"/>
                      </a:srgb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47BA">
                        <a:lumMod val="20000"/>
                        <a:lumOff val="80000"/>
                      </a:srgbClr>
                    </a:solidFill>
                    <a:ln w="9525"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  <a:ln w="9525">
                        <a:solidFill>
                          <a:srgbClr val="0047BA">
                            <a:lumMod val="20000"/>
                            <a:lumOff val="80000"/>
                          </a:srgbClr>
                        </a:solidFill>
                      </a:ln>
                      <a:effectLst/>
                    </c:spPr>
                  </c:marker>
                  <c:bubble3D val="0"/>
                  <c:spPr>
                    <a:ln w="25400" cap="rnd">
                      <a:noFill/>
                      <a:round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8015-4A2F-B49D-DD7DAF216726}"/>
                    </c:ext>
                  </c:extLst>
                </c:dP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('EM evol menusual lugar resd'!$G$141:$G$152,'EM evol menusual lugar resd'!$G$153)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9.500934579439253</c:v>
                      </c:pt>
                      <c:pt idx="1">
                        <c:v>7.2494226327944569</c:v>
                      </c:pt>
                      <c:pt idx="2">
                        <c:v>7.4262717321313589</c:v>
                      </c:pt>
                      <c:pt idx="3">
                        <c:v>7.5292955892034232</c:v>
                      </c:pt>
                      <c:pt idx="4">
                        <c:v>7.7900113507377977</c:v>
                      </c:pt>
                      <c:pt idx="5">
                        <c:v>7.3679031037093115</c:v>
                      </c:pt>
                      <c:pt idx="6">
                        <c:v>8.3393177737881512</c:v>
                      </c:pt>
                      <c:pt idx="7">
                        <c:v>9.4428857715430858</c:v>
                      </c:pt>
                      <c:pt idx="8">
                        <c:v>9.1776504297994261</c:v>
                      </c:pt>
                      <c:pt idx="9">
                        <c:v>7.3299583085169742</c:v>
                      </c:pt>
                      <c:pt idx="10">
                        <c:v>7.955390334572491</c:v>
                      </c:pt>
                      <c:pt idx="11">
                        <c:v>7.965578635014837</c:v>
                      </c:pt>
                      <c:pt idx="12">
                        <c:v>7.9858322782902276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8015-4A2F-B49D-DD7DAF21672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5"/>
          <c:tx>
            <c:strRef>
              <c:f>'EM evol menusual lugar resd'!$N$140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015-4A2F-B49D-DD7DAF21672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015-4A2F-B49D-DD7DAF21672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015-4A2F-B49D-DD7DAF21672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015-4A2F-B49D-DD7DAF21672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015-4A2F-B49D-DD7DAF21672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015-4A2F-B49D-DD7DAF21672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015-4A2F-B49D-DD7DAF21672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015-4A2F-B49D-DD7DAF21672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015-4A2F-B49D-DD7DAF21672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015-4A2F-B49D-DD7DAF21672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015-4A2F-B49D-DD7DAF21672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015-4A2F-B49D-DD7DAF21672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015-4A2F-B49D-DD7DAF216726}"/>
              </c:ext>
            </c:extLst>
          </c:dPt>
          <c:cat>
            <c:strRef>
              <c:f>'EM evol menusual lugar resd'!$B$141:$B$152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resd'!$N$141:$N$153</c:f>
              <c:numCache>
                <c:formatCode>0.00</c:formatCode>
                <c:ptCount val="13"/>
                <c:pt idx="0">
                  <c:v>-1.379082306044042</c:v>
                </c:pt>
                <c:pt idx="1">
                  <c:v>-0.24115809202892002</c:v>
                </c:pt>
                <c:pt idx="2">
                  <c:v>0.3706263111111987</c:v>
                </c:pt>
                <c:pt idx="3">
                  <c:v>-2.0306814254189662</c:v>
                </c:pt>
                <c:pt idx="4">
                  <c:v>3.4416923983297316</c:v>
                </c:pt>
                <c:pt idx="5">
                  <c:v>0.34700813788650287</c:v>
                </c:pt>
                <c:pt idx="6">
                  <c:v>6.4431864647998438E-2</c:v>
                </c:pt>
                <c:pt idx="7">
                  <c:v>0.36691274054412837</c:v>
                </c:pt>
                <c:pt idx="8">
                  <c:v>0.51032413905663532</c:v>
                </c:pt>
                <c:pt idx="12">
                  <c:v>3.6614992489752751E-2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015-4A2F-B49D-DD7DAF216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resd'!$I$161:$J$161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301-48A0-8A39-A064E2BDC3B0}"/>
              </c:ext>
            </c:extLst>
          </c:dPt>
          <c:val>
            <c:numRef>
              <c:f>'EM evol menusual lugar resd'!$I$163:$I$175</c:f>
              <c:numCache>
                <c:formatCode>0.00</c:formatCode>
                <c:ptCount val="13"/>
                <c:pt idx="0">
                  <c:v>6.7374773687386842</c:v>
                </c:pt>
                <c:pt idx="1">
                  <c:v>6.2614051094890515</c:v>
                </c:pt>
                <c:pt idx="2">
                  <c:v>6.9642857142857144</c:v>
                </c:pt>
                <c:pt idx="3">
                  <c:v>5.9081426648721402</c:v>
                </c:pt>
                <c:pt idx="4">
                  <c:v>6.3199523052464226</c:v>
                </c:pt>
                <c:pt idx="5">
                  <c:v>6.4923076923076923</c:v>
                </c:pt>
                <c:pt idx="6">
                  <c:v>6.7623158963941083</c:v>
                </c:pt>
                <c:pt idx="7">
                  <c:v>7.2864745011086471</c:v>
                </c:pt>
                <c:pt idx="8">
                  <c:v>6.5264691597863038</c:v>
                </c:pt>
                <c:pt idx="9">
                  <c:v>6.1283255086071984</c:v>
                </c:pt>
                <c:pt idx="10">
                  <c:v>7.0292553191489358</c:v>
                </c:pt>
                <c:pt idx="11">
                  <c:v>5.7238356164383566</c:v>
                </c:pt>
                <c:pt idx="12">
                  <c:v>6.4696081948264181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01-48A0-8A39-A064E2BDC3B0}"/>
            </c:ext>
          </c:extLst>
        </c:ser>
        <c:ser>
          <c:idx val="0"/>
          <c:order val="2"/>
          <c:tx>
            <c:strRef>
              <c:f>'EM evol menusual lugar resd'!$K$161:$L$161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301-48A0-8A39-A064E2BDC3B0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resd'!$K$163:$K$175</c:f>
              <c:numCache>
                <c:formatCode>0.00</c:formatCode>
                <c:ptCount val="13"/>
                <c:pt idx="0">
                  <c:v>8.1598639455782305</c:v>
                </c:pt>
                <c:pt idx="1">
                  <c:v>6.1108410306271272</c:v>
                </c:pt>
                <c:pt idx="2">
                  <c:v>7.023180154534364</c:v>
                </c:pt>
                <c:pt idx="3">
                  <c:v>5.9860979462875195</c:v>
                </c:pt>
                <c:pt idx="4">
                  <c:v>7.0540976988292288</c:v>
                </c:pt>
                <c:pt idx="5">
                  <c:v>6.846736596736597</c:v>
                </c:pt>
                <c:pt idx="6">
                  <c:v>7.4846723044397461</c:v>
                </c:pt>
                <c:pt idx="7">
                  <c:v>7.9534117647058826</c:v>
                </c:pt>
                <c:pt idx="8">
                  <c:v>6.5689448441247</c:v>
                </c:pt>
                <c:pt idx="9">
                  <c:v>6.1717967072297784</c:v>
                </c:pt>
                <c:pt idx="10">
                  <c:v>5.8347953216374266</c:v>
                </c:pt>
                <c:pt idx="11">
                  <c:v>6.7889048991354466</c:v>
                </c:pt>
                <c:pt idx="12">
                  <c:v>6.7810325887953127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301-48A0-8A39-A064E2BDC3B0}"/>
            </c:ext>
          </c:extLst>
        </c:ser>
        <c:ser>
          <c:idx val="1"/>
          <c:order val="3"/>
          <c:tx>
            <c:strRef>
              <c:f>'EM evol menusual lugar resd'!$M$161:$N$161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301-48A0-8A39-A064E2BDC3B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301-48A0-8A39-A064E2BDC3B0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resd'!$M$163:$M$175</c:f>
              <c:numCache>
                <c:formatCode>0.00</c:formatCode>
                <c:ptCount val="13"/>
                <c:pt idx="0">
                  <c:v>7.2264875239923221</c:v>
                </c:pt>
                <c:pt idx="1">
                  <c:v>6.3094629156010233</c:v>
                </c:pt>
                <c:pt idx="2">
                  <c:v>6.5350000000000001</c:v>
                </c:pt>
                <c:pt idx="3">
                  <c:v>6.1740909090909089</c:v>
                </c:pt>
                <c:pt idx="4">
                  <c:v>7.4310954063604244</c:v>
                </c:pt>
                <c:pt idx="5">
                  <c:v>7.2542975696502667</c:v>
                </c:pt>
                <c:pt idx="6">
                  <c:v>7.0748587570621471</c:v>
                </c:pt>
                <c:pt idx="7">
                  <c:v>8.1352278294953457</c:v>
                </c:pt>
                <c:pt idx="8">
                  <c:v>7.5481120584652865</c:v>
                </c:pt>
                <c:pt idx="12">
                  <c:v>7.0302872666319862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301-48A0-8A39-A064E2BDC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resd'!$C$161:$D$161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301-48A0-8A39-A064E2BDC3B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resd'!$C$163:$C$175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5.5201984408221119</c:v>
                      </c:pt>
                      <c:pt idx="1">
                        <c:v>6.3634615384615385</c:v>
                      </c:pt>
                      <c:pt idx="2">
                        <c:v>8.701013513513514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7.6909920182440139</c:v>
                      </c:pt>
                      <c:pt idx="8">
                        <c:v>7.98828125</c:v>
                      </c:pt>
                      <c:pt idx="9">
                        <c:v>6.2247324613555293</c:v>
                      </c:pt>
                      <c:pt idx="10">
                        <c:v>8</c:v>
                      </c:pt>
                      <c:pt idx="11">
                        <c:v>5.0691003911342891</c:v>
                      </c:pt>
                      <c:pt idx="12">
                        <c:v>6.446249620406924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301-48A0-8A39-A064E2BDC3B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resd'!$N$162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301-48A0-8A39-A064E2BDC3B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301-48A0-8A39-A064E2BDC3B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301-48A0-8A39-A064E2BDC3B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301-48A0-8A39-A064E2BDC3B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301-48A0-8A39-A064E2BDC3B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301-48A0-8A39-A064E2BDC3B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301-48A0-8A39-A064E2BDC3B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301-48A0-8A39-A064E2BDC3B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301-48A0-8A39-A064E2BDC3B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301-48A0-8A39-A064E2BDC3B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301-48A0-8A39-A064E2BDC3B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301-48A0-8A39-A064E2BDC3B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301-48A0-8A39-A064E2BDC3B0}"/>
              </c:ext>
            </c:extLst>
          </c:dPt>
          <c:cat>
            <c:strRef>
              <c:f>'EM evol menusual lugar resd'!$B$163:$B$174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resd'!$N$163:$N$175</c:f>
              <c:numCache>
                <c:formatCode>0.00</c:formatCode>
                <c:ptCount val="13"/>
                <c:pt idx="0">
                  <c:v>-0.93337642158590839</c:v>
                </c:pt>
                <c:pt idx="1">
                  <c:v>0.1986218849738961</c:v>
                </c:pt>
                <c:pt idx="2">
                  <c:v>-0.48818015453436381</c:v>
                </c:pt>
                <c:pt idx="3">
                  <c:v>0.1879929628033894</c:v>
                </c:pt>
                <c:pt idx="4">
                  <c:v>0.37699770753119566</c:v>
                </c:pt>
                <c:pt idx="5">
                  <c:v>0.40756097291366977</c:v>
                </c:pt>
                <c:pt idx="6">
                  <c:v>-0.40981354737759901</c:v>
                </c:pt>
                <c:pt idx="7">
                  <c:v>0.18181606478946311</c:v>
                </c:pt>
                <c:pt idx="8">
                  <c:v>0.97916721434058651</c:v>
                </c:pt>
                <c:pt idx="12">
                  <c:v>9.2350433377480279E-2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301-48A0-8A39-A064E2BDC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resd'!$I$183:$J$183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ADE-4901-BCCC-089228B34926}"/>
              </c:ext>
            </c:extLst>
          </c:dPt>
          <c:val>
            <c:numRef>
              <c:f>'EM evol menusual lugar resd'!$I$185:$I$197</c:f>
              <c:numCache>
                <c:formatCode>0.00</c:formatCode>
                <c:ptCount val="13"/>
                <c:pt idx="0">
                  <c:v>8.6969696969696972</c:v>
                </c:pt>
                <c:pt idx="1">
                  <c:v>7.5101123595505621</c:v>
                </c:pt>
                <c:pt idx="2">
                  <c:v>9.2798742138364787</c:v>
                </c:pt>
                <c:pt idx="3">
                  <c:v>7.8366197183098594</c:v>
                </c:pt>
                <c:pt idx="4">
                  <c:v>7.5637065637065639</c:v>
                </c:pt>
                <c:pt idx="5">
                  <c:v>7.7424657534246579</c:v>
                </c:pt>
                <c:pt idx="6">
                  <c:v>6.6075036075036078</c:v>
                </c:pt>
                <c:pt idx="7">
                  <c:v>7.5533199195171026</c:v>
                </c:pt>
                <c:pt idx="8">
                  <c:v>7.6696165191740411</c:v>
                </c:pt>
                <c:pt idx="9">
                  <c:v>6.2601880877742948</c:v>
                </c:pt>
                <c:pt idx="10">
                  <c:v>7.8169336384439356</c:v>
                </c:pt>
                <c:pt idx="11">
                  <c:v>6.9157088122605366</c:v>
                </c:pt>
                <c:pt idx="12">
                  <c:v>7.4551912568306014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DE-4901-BCCC-089228B34926}"/>
            </c:ext>
          </c:extLst>
        </c:ser>
        <c:ser>
          <c:idx val="0"/>
          <c:order val="2"/>
          <c:tx>
            <c:strRef>
              <c:f>'EM evol menusual lugar resd'!$K$183:$L$183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ADE-4901-BCCC-089228B34926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resd'!$K$185:$K$197</c:f>
              <c:numCache>
                <c:formatCode>0.00</c:formatCode>
                <c:ptCount val="13"/>
                <c:pt idx="0">
                  <c:v>8.8498659517426272</c:v>
                </c:pt>
                <c:pt idx="1">
                  <c:v>7.6536796536796539</c:v>
                </c:pt>
                <c:pt idx="2">
                  <c:v>7.7043918918918921</c:v>
                </c:pt>
                <c:pt idx="3">
                  <c:v>8.6806930693069315</c:v>
                </c:pt>
                <c:pt idx="4">
                  <c:v>8.140703517587939</c:v>
                </c:pt>
                <c:pt idx="5">
                  <c:v>8.120075046904315</c:v>
                </c:pt>
                <c:pt idx="6">
                  <c:v>7.4171974522292992</c:v>
                </c:pt>
                <c:pt idx="7">
                  <c:v>6.4814814814814818</c:v>
                </c:pt>
                <c:pt idx="8">
                  <c:v>7.8940092165898621</c:v>
                </c:pt>
                <c:pt idx="9">
                  <c:v>6.36</c:v>
                </c:pt>
                <c:pt idx="10">
                  <c:v>6.4905660377358494</c:v>
                </c:pt>
                <c:pt idx="11">
                  <c:v>6.6901408450704229</c:v>
                </c:pt>
                <c:pt idx="12">
                  <c:v>7.5349631493798306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ADE-4901-BCCC-089228B34926}"/>
            </c:ext>
          </c:extLst>
        </c:ser>
        <c:ser>
          <c:idx val="1"/>
          <c:order val="3"/>
          <c:tx>
            <c:strRef>
              <c:f>'EM evol menusual lugar resd'!$M$183:$N$183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ADE-4901-BCCC-089228B3492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ADE-4901-BCCC-089228B34926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resd'!$M$185:$M$197</c:f>
              <c:numCache>
                <c:formatCode>0.00</c:formatCode>
                <c:ptCount val="13"/>
                <c:pt idx="0">
                  <c:v>7.8496932515337425</c:v>
                </c:pt>
                <c:pt idx="1">
                  <c:v>6.2706552706552703</c:v>
                </c:pt>
                <c:pt idx="2">
                  <c:v>7.7165354330708658</c:v>
                </c:pt>
                <c:pt idx="3">
                  <c:v>5.963093145869947</c:v>
                </c:pt>
                <c:pt idx="4">
                  <c:v>11.962085308056873</c:v>
                </c:pt>
                <c:pt idx="5">
                  <c:v>7.7861842105263159</c:v>
                </c:pt>
                <c:pt idx="6">
                  <c:v>7.7472924187725631</c:v>
                </c:pt>
                <c:pt idx="7">
                  <c:v>7.8896321070234112</c:v>
                </c:pt>
                <c:pt idx="8">
                  <c:v>7.2243902439024392</c:v>
                </c:pt>
                <c:pt idx="12">
                  <c:v>7.5362499999999999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ADE-4901-BCCC-089228B34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resd'!$C$183:$D$183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ADE-4901-BCCC-089228B3492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resd'!$C$185:$C$197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9.319488817891374</c:v>
                      </c:pt>
                      <c:pt idx="1">
                        <c:v>6.2897196261682247</c:v>
                      </c:pt>
                      <c:pt idx="2">
                        <c:v>7.180616740088106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5.0167286245353164</c:v>
                      </c:pt>
                      <c:pt idx="8">
                        <c:v>6.0535714285714288</c:v>
                      </c:pt>
                      <c:pt idx="9">
                        <c:v>7.6309523809523814</c:v>
                      </c:pt>
                      <c:pt idx="10">
                        <c:v>5.4861111111111107</c:v>
                      </c:pt>
                      <c:pt idx="11">
                        <c:v>5.2301587301587302</c:v>
                      </c:pt>
                      <c:pt idx="12">
                        <c:v>6.4966408268733851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ADE-4901-BCCC-089228B3492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resd'!$N$184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ADE-4901-BCCC-089228B3492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ADE-4901-BCCC-089228B3492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ADE-4901-BCCC-089228B3492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ADE-4901-BCCC-089228B3492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ADE-4901-BCCC-089228B3492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ADE-4901-BCCC-089228B3492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ADE-4901-BCCC-089228B3492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ADE-4901-BCCC-089228B3492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ADE-4901-BCCC-089228B3492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ADE-4901-BCCC-089228B3492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ADE-4901-BCCC-089228B3492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ADE-4901-BCCC-089228B3492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ADE-4901-BCCC-089228B34926}"/>
              </c:ext>
            </c:extLst>
          </c:dPt>
          <c:cat>
            <c:strRef>
              <c:f>'EM evol menusual lugar resd'!$B$185:$B$196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resd'!$N$185:$N$197</c:f>
              <c:numCache>
                <c:formatCode>0.00</c:formatCode>
                <c:ptCount val="13"/>
                <c:pt idx="0">
                  <c:v>-1.0001727002088847</c:v>
                </c:pt>
                <c:pt idx="1">
                  <c:v>-1.3830243830243836</c:v>
                </c:pt>
                <c:pt idx="2">
                  <c:v>1.2143541178973649E-2</c:v>
                </c:pt>
                <c:pt idx="3">
                  <c:v>-2.7175999234369845</c:v>
                </c:pt>
                <c:pt idx="4">
                  <c:v>3.8213817904689336</c:v>
                </c:pt>
                <c:pt idx="5">
                  <c:v>-0.3338908363779991</c:v>
                </c:pt>
                <c:pt idx="6">
                  <c:v>0.33009496654326398</c:v>
                </c:pt>
                <c:pt idx="7">
                  <c:v>1.4081506255419294</c:v>
                </c:pt>
                <c:pt idx="8">
                  <c:v>-0.66961897268742288</c:v>
                </c:pt>
                <c:pt idx="12">
                  <c:v>-0.29553005591798698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ADE-4901-BCCC-089228B34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resd'!$I$205:$J$205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57F-4694-8EF9-042B474963D1}"/>
              </c:ext>
            </c:extLst>
          </c:dPt>
          <c:val>
            <c:numRef>
              <c:f>'EM evol menusual lugar resd'!$I$207:$I$219</c:f>
              <c:numCache>
                <c:formatCode>0.00</c:formatCode>
                <c:ptCount val="13"/>
                <c:pt idx="0">
                  <c:v>7.4215976331360949</c:v>
                </c:pt>
                <c:pt idx="1">
                  <c:v>6.1691078561917445</c:v>
                </c:pt>
                <c:pt idx="2">
                  <c:v>7.4685534591194971</c:v>
                </c:pt>
                <c:pt idx="3">
                  <c:v>7.0227048371174732</c:v>
                </c:pt>
                <c:pt idx="4">
                  <c:v>11.213178294573643</c:v>
                </c:pt>
                <c:pt idx="5">
                  <c:v>11.01419878296146</c:v>
                </c:pt>
                <c:pt idx="6">
                  <c:v>9.6335260115606935</c:v>
                </c:pt>
                <c:pt idx="7">
                  <c:v>10.585014409221902</c:v>
                </c:pt>
                <c:pt idx="8">
                  <c:v>9.3552795031055904</c:v>
                </c:pt>
                <c:pt idx="9">
                  <c:v>9.9650067294751015</c:v>
                </c:pt>
                <c:pt idx="10">
                  <c:v>7.9652294853963834</c:v>
                </c:pt>
                <c:pt idx="11">
                  <c:v>9.3677419354838705</c:v>
                </c:pt>
                <c:pt idx="12">
                  <c:v>8.8479387249380483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7F-4694-8EF9-042B474963D1}"/>
            </c:ext>
          </c:extLst>
        </c:ser>
        <c:ser>
          <c:idx val="0"/>
          <c:order val="2"/>
          <c:tx>
            <c:strRef>
              <c:f>'EM evol menusual lugar resd'!$K$205:$L$205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57F-4694-8EF9-042B474963D1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resd'!$K$207:$K$219</c:f>
              <c:numCache>
                <c:formatCode>0.00</c:formatCode>
                <c:ptCount val="13"/>
                <c:pt idx="0">
                  <c:v>10.036101083032491</c:v>
                </c:pt>
                <c:pt idx="1">
                  <c:v>9.6203288490284002</c:v>
                </c:pt>
                <c:pt idx="2">
                  <c:v>10.040567951318458</c:v>
                </c:pt>
                <c:pt idx="3">
                  <c:v>8.3473684210526322</c:v>
                </c:pt>
                <c:pt idx="4">
                  <c:v>10.84819734345351</c:v>
                </c:pt>
                <c:pt idx="5">
                  <c:v>12.085648148148149</c:v>
                </c:pt>
                <c:pt idx="6">
                  <c:v>9.9510357815442561</c:v>
                </c:pt>
                <c:pt idx="7">
                  <c:v>9.5925196850393704</c:v>
                </c:pt>
                <c:pt idx="8">
                  <c:v>8.4372197309417043</c:v>
                </c:pt>
                <c:pt idx="9">
                  <c:v>7.2849002849002851</c:v>
                </c:pt>
                <c:pt idx="10">
                  <c:v>5.5432300163132133</c:v>
                </c:pt>
                <c:pt idx="11">
                  <c:v>7.8854805725971371</c:v>
                </c:pt>
                <c:pt idx="12">
                  <c:v>9.0189776553412919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57F-4694-8EF9-042B474963D1}"/>
            </c:ext>
          </c:extLst>
        </c:ser>
        <c:ser>
          <c:idx val="1"/>
          <c:order val="3"/>
          <c:tx>
            <c:strRef>
              <c:f>'EM evol menusual lugar resd'!$M$205:$N$205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57F-4694-8EF9-042B474963D1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57F-4694-8EF9-042B474963D1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resd'!$M$207:$M$219</c:f>
              <c:numCache>
                <c:formatCode>0.00</c:formatCode>
                <c:ptCount val="13"/>
                <c:pt idx="0">
                  <c:v>8.822265625</c:v>
                </c:pt>
                <c:pt idx="1">
                  <c:v>6.4498525073746311</c:v>
                </c:pt>
                <c:pt idx="2">
                  <c:v>7.5100548446069473</c:v>
                </c:pt>
                <c:pt idx="3">
                  <c:v>7.1983050847457628</c:v>
                </c:pt>
                <c:pt idx="4">
                  <c:v>11.260714285714286</c:v>
                </c:pt>
                <c:pt idx="5">
                  <c:v>9.2015113350125937</c:v>
                </c:pt>
                <c:pt idx="6">
                  <c:v>10.435852372583479</c:v>
                </c:pt>
                <c:pt idx="7">
                  <c:v>14.211640211640212</c:v>
                </c:pt>
                <c:pt idx="8">
                  <c:v>10.145969498910675</c:v>
                </c:pt>
                <c:pt idx="12">
                  <c:v>9.0743764172335606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57F-4694-8EF9-042B47496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resd'!$C$205:$D$205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57F-4694-8EF9-042B474963D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resd'!$C$207:$C$219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6.4727793696275073</c:v>
                      </c:pt>
                      <c:pt idx="1">
                        <c:v>7.0763358778625953</c:v>
                      </c:pt>
                      <c:pt idx="2">
                        <c:v>8.3571428571428577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8.0295857988165675</c:v>
                      </c:pt>
                      <c:pt idx="8">
                        <c:v>28.5</c:v>
                      </c:pt>
                      <c:pt idx="9">
                        <c:v>4.5789473684210522</c:v>
                      </c:pt>
                      <c:pt idx="10">
                        <c:v>5.7807017543859649</c:v>
                      </c:pt>
                      <c:pt idx="11">
                        <c:v>6.3580246913580245</c:v>
                      </c:pt>
                      <c:pt idx="12">
                        <c:v>7.0369206598586018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57F-4694-8EF9-042B474963D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resd'!$N$206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57F-4694-8EF9-042B474963D1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57F-4694-8EF9-042B474963D1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57F-4694-8EF9-042B474963D1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57F-4694-8EF9-042B474963D1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57F-4694-8EF9-042B474963D1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57F-4694-8EF9-042B474963D1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57F-4694-8EF9-042B474963D1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57F-4694-8EF9-042B474963D1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57F-4694-8EF9-042B474963D1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57F-4694-8EF9-042B474963D1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57F-4694-8EF9-042B474963D1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57F-4694-8EF9-042B474963D1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57F-4694-8EF9-042B474963D1}"/>
              </c:ext>
            </c:extLst>
          </c:dPt>
          <c:cat>
            <c:strRef>
              <c:f>'EM evol menusual lugar resd'!$B$207:$B$218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resd'!$N$207:$N$219</c:f>
              <c:numCache>
                <c:formatCode>0.00</c:formatCode>
                <c:ptCount val="13"/>
                <c:pt idx="0">
                  <c:v>-1.2138354580324915</c:v>
                </c:pt>
                <c:pt idx="1">
                  <c:v>-3.1704763416537691</c:v>
                </c:pt>
                <c:pt idx="2">
                  <c:v>-2.5305131067115108</c:v>
                </c:pt>
                <c:pt idx="3">
                  <c:v>-1.1490633363068694</c:v>
                </c:pt>
                <c:pt idx="4">
                  <c:v>0.41251694226077618</c:v>
                </c:pt>
                <c:pt idx="5">
                  <c:v>-2.8841368131355551</c:v>
                </c:pt>
                <c:pt idx="6">
                  <c:v>0.48481659103922325</c:v>
                </c:pt>
                <c:pt idx="7">
                  <c:v>4.6191205266008417</c:v>
                </c:pt>
                <c:pt idx="8">
                  <c:v>1.7087497679689712</c:v>
                </c:pt>
                <c:pt idx="12">
                  <c:v>-0.76959821278758156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57F-4694-8EF9-042B47496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resd'!$I$227:$J$227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484-4B6C-86FC-F776FADF17EC}"/>
              </c:ext>
            </c:extLst>
          </c:dPt>
          <c:val>
            <c:numRef>
              <c:f>'EM evol menusual lugar resd'!$I$229:$I$241</c:f>
              <c:numCache>
                <c:formatCode>0.00</c:formatCode>
                <c:ptCount val="13"/>
                <c:pt idx="0">
                  <c:v>8.6969696969696972</c:v>
                </c:pt>
                <c:pt idx="1">
                  <c:v>7.5101123595505621</c:v>
                </c:pt>
                <c:pt idx="2">
                  <c:v>9.2798742138364787</c:v>
                </c:pt>
                <c:pt idx="3">
                  <c:v>7.8366197183098594</c:v>
                </c:pt>
                <c:pt idx="4">
                  <c:v>7.5637065637065639</c:v>
                </c:pt>
                <c:pt idx="5">
                  <c:v>7.7424657534246579</c:v>
                </c:pt>
                <c:pt idx="6">
                  <c:v>6.6075036075036078</c:v>
                </c:pt>
                <c:pt idx="7">
                  <c:v>7.5533199195171026</c:v>
                </c:pt>
                <c:pt idx="8">
                  <c:v>7.6696165191740411</c:v>
                </c:pt>
                <c:pt idx="9">
                  <c:v>6.2601880877742948</c:v>
                </c:pt>
                <c:pt idx="10">
                  <c:v>7.8169336384439356</c:v>
                </c:pt>
                <c:pt idx="11">
                  <c:v>6.9157088122605366</c:v>
                </c:pt>
                <c:pt idx="12">
                  <c:v>7.4551912568306014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84-4B6C-86FC-F776FADF17EC}"/>
            </c:ext>
          </c:extLst>
        </c:ser>
        <c:ser>
          <c:idx val="0"/>
          <c:order val="2"/>
          <c:tx>
            <c:strRef>
              <c:f>'EM evol menusual lugar resd'!$K$227:$L$227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484-4B6C-86FC-F776FADF17EC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resd'!$K$229:$K$241</c:f>
              <c:numCache>
                <c:formatCode>0.00</c:formatCode>
                <c:ptCount val="13"/>
                <c:pt idx="0">
                  <c:v>8.8498659517426272</c:v>
                </c:pt>
                <c:pt idx="1">
                  <c:v>7.6536796536796539</c:v>
                </c:pt>
                <c:pt idx="2">
                  <c:v>7.7043918918918921</c:v>
                </c:pt>
                <c:pt idx="3">
                  <c:v>8.6806930693069315</c:v>
                </c:pt>
                <c:pt idx="4">
                  <c:v>8.140703517587939</c:v>
                </c:pt>
                <c:pt idx="5">
                  <c:v>8.120075046904315</c:v>
                </c:pt>
                <c:pt idx="6">
                  <c:v>7.4171974522292992</c:v>
                </c:pt>
                <c:pt idx="7">
                  <c:v>6.4814814814814818</c:v>
                </c:pt>
                <c:pt idx="8">
                  <c:v>7.8940092165898621</c:v>
                </c:pt>
                <c:pt idx="9">
                  <c:v>6.36</c:v>
                </c:pt>
                <c:pt idx="10">
                  <c:v>6.4905660377358494</c:v>
                </c:pt>
                <c:pt idx="11">
                  <c:v>6.6901408450704229</c:v>
                </c:pt>
                <c:pt idx="12">
                  <c:v>7.5349631493798306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484-4B6C-86FC-F776FADF17EC}"/>
            </c:ext>
          </c:extLst>
        </c:ser>
        <c:ser>
          <c:idx val="1"/>
          <c:order val="3"/>
          <c:tx>
            <c:strRef>
              <c:f>'EM evol menusual lugar resd'!$M$227:$N$227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484-4B6C-86FC-F776FADF17E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484-4B6C-86FC-F776FADF17EC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resd'!$M$229:$M$241</c:f>
              <c:numCache>
                <c:formatCode>0.00</c:formatCode>
                <c:ptCount val="13"/>
                <c:pt idx="0">
                  <c:v>7.8496932515337425</c:v>
                </c:pt>
                <c:pt idx="1">
                  <c:v>6.2706552706552703</c:v>
                </c:pt>
                <c:pt idx="2">
                  <c:v>7.7165354330708658</c:v>
                </c:pt>
                <c:pt idx="3">
                  <c:v>5.963093145869947</c:v>
                </c:pt>
                <c:pt idx="4">
                  <c:v>11.962085308056873</c:v>
                </c:pt>
                <c:pt idx="5">
                  <c:v>7.7861842105263159</c:v>
                </c:pt>
                <c:pt idx="6">
                  <c:v>7.7472924187725631</c:v>
                </c:pt>
                <c:pt idx="7">
                  <c:v>7.8896321070234112</c:v>
                </c:pt>
                <c:pt idx="8">
                  <c:v>7.2243902439024392</c:v>
                </c:pt>
                <c:pt idx="12">
                  <c:v>7.5362499999999999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484-4B6C-86FC-F776FADF1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resd'!$C$227:$D$227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484-4B6C-86FC-F776FADF17E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resd'!$C$229:$C$241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9.319488817891374</c:v>
                      </c:pt>
                      <c:pt idx="1">
                        <c:v>6.2897196261682247</c:v>
                      </c:pt>
                      <c:pt idx="2">
                        <c:v>7.180616740088106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5.0167286245353164</c:v>
                      </c:pt>
                      <c:pt idx="8">
                        <c:v>6.0535714285714288</c:v>
                      </c:pt>
                      <c:pt idx="9">
                        <c:v>7.6309523809523814</c:v>
                      </c:pt>
                      <c:pt idx="10">
                        <c:v>5.4861111111111107</c:v>
                      </c:pt>
                      <c:pt idx="11">
                        <c:v>5.2301587301587302</c:v>
                      </c:pt>
                      <c:pt idx="12">
                        <c:v>6.4966408268733851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484-4B6C-86FC-F776FADF17E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resd'!$N$228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484-4B6C-86FC-F776FADF17E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484-4B6C-86FC-F776FADF17E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484-4B6C-86FC-F776FADF17E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484-4B6C-86FC-F776FADF17E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484-4B6C-86FC-F776FADF17E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484-4B6C-86FC-F776FADF17E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484-4B6C-86FC-F776FADF17E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484-4B6C-86FC-F776FADF17E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484-4B6C-86FC-F776FADF17E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484-4B6C-86FC-F776FADF17E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484-4B6C-86FC-F776FADF17E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484-4B6C-86FC-F776FADF17E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484-4B6C-86FC-F776FADF17EC}"/>
              </c:ext>
            </c:extLst>
          </c:dPt>
          <c:cat>
            <c:strRef>
              <c:f>'EM evol menusual lugar resd'!$B$229:$B$240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resd'!$N$229:$N$241</c:f>
              <c:numCache>
                <c:formatCode>0.00</c:formatCode>
                <c:ptCount val="13"/>
                <c:pt idx="0">
                  <c:v>-1.0001727002088847</c:v>
                </c:pt>
                <c:pt idx="1">
                  <c:v>-1.3830243830243836</c:v>
                </c:pt>
                <c:pt idx="2">
                  <c:v>1.2143541178973649E-2</c:v>
                </c:pt>
                <c:pt idx="3">
                  <c:v>-2.7175999234369845</c:v>
                </c:pt>
                <c:pt idx="4">
                  <c:v>3.8213817904689336</c:v>
                </c:pt>
                <c:pt idx="5">
                  <c:v>-0.3338908363779991</c:v>
                </c:pt>
                <c:pt idx="6">
                  <c:v>0.33009496654326398</c:v>
                </c:pt>
                <c:pt idx="7">
                  <c:v>1.4081506255419294</c:v>
                </c:pt>
                <c:pt idx="8">
                  <c:v>-0.66961897268742288</c:v>
                </c:pt>
                <c:pt idx="12">
                  <c:v>-0.29553005591798698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484-4B6C-86FC-F776FADF1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resd'!$I$249:$J$249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1C9-46E6-8F6B-E5AEC3CBD9AA}"/>
              </c:ext>
            </c:extLst>
          </c:dPt>
          <c:val>
            <c:numRef>
              <c:f>'EM evol menusual lugar resd'!$I$251:$I$263</c:f>
              <c:numCache>
                <c:formatCode>0.00</c:formatCode>
                <c:ptCount val="13"/>
                <c:pt idx="0">
                  <c:v>7.5425414364640888</c:v>
                </c:pt>
                <c:pt idx="1">
                  <c:v>8.927819548872181</c:v>
                </c:pt>
                <c:pt idx="2">
                  <c:v>8.277899343544858</c:v>
                </c:pt>
                <c:pt idx="3">
                  <c:v>9.1930693069306937</c:v>
                </c:pt>
                <c:pt idx="4">
                  <c:v>5.1111111111111107</c:v>
                </c:pt>
                <c:pt idx="5">
                  <c:v>3</c:v>
                </c:pt>
                <c:pt idx="6">
                  <c:v>7</c:v>
                </c:pt>
                <c:pt idx="7">
                  <c:v>7.333333333333333</c:v>
                </c:pt>
                <c:pt idx="8">
                  <c:v>3.8333333333333335</c:v>
                </c:pt>
                <c:pt idx="9">
                  <c:v>7.0779220779220777</c:v>
                </c:pt>
                <c:pt idx="10">
                  <c:v>6.2519181585677748</c:v>
                </c:pt>
                <c:pt idx="11">
                  <c:v>7.2767857142857144</c:v>
                </c:pt>
                <c:pt idx="12">
                  <c:v>7.6280140883229475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C9-46E6-8F6B-E5AEC3CBD9AA}"/>
            </c:ext>
          </c:extLst>
        </c:ser>
        <c:ser>
          <c:idx val="0"/>
          <c:order val="2"/>
          <c:tx>
            <c:strRef>
              <c:f>'EM evol menusual lugar resd'!$K$249:$L$249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1C9-46E6-8F6B-E5AEC3CBD9AA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resd'!$K$251:$K$263</c:f>
              <c:numCache>
                <c:formatCode>0.00</c:formatCode>
                <c:ptCount val="13"/>
                <c:pt idx="0">
                  <c:v>8.7548701298701292</c:v>
                </c:pt>
                <c:pt idx="1">
                  <c:v>7.9670846394984327</c:v>
                </c:pt>
                <c:pt idx="2">
                  <c:v>8.0641282565130261</c:v>
                </c:pt>
                <c:pt idx="3">
                  <c:v>7.3793103448275863</c:v>
                </c:pt>
                <c:pt idx="4">
                  <c:v>8.7727272727272734</c:v>
                </c:pt>
                <c:pt idx="5">
                  <c:v>4.666666666666667</c:v>
                </c:pt>
                <c:pt idx="6">
                  <c:v>8.4705882352941178</c:v>
                </c:pt>
                <c:pt idx="7">
                  <c:v>6.44</c:v>
                </c:pt>
                <c:pt idx="8">
                  <c:v>9.4</c:v>
                </c:pt>
                <c:pt idx="9">
                  <c:v>6.3295454545454541</c:v>
                </c:pt>
                <c:pt idx="10">
                  <c:v>7.6789883268482493</c:v>
                </c:pt>
                <c:pt idx="11">
                  <c:v>7.2662721893491122</c:v>
                </c:pt>
                <c:pt idx="12">
                  <c:v>7.8162845385067605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1C9-46E6-8F6B-E5AEC3CBD9AA}"/>
            </c:ext>
          </c:extLst>
        </c:ser>
        <c:ser>
          <c:idx val="1"/>
          <c:order val="3"/>
          <c:tx>
            <c:strRef>
              <c:f>'EM evol menusual lugar resd'!$M$249:$N$249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1C9-46E6-8F6B-E5AEC3CBD9A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1C9-46E6-8F6B-E5AEC3CBD9AA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resd'!$M$251:$M$263</c:f>
              <c:numCache>
                <c:formatCode>0.00</c:formatCode>
                <c:ptCount val="13"/>
                <c:pt idx="0">
                  <c:v>7.822289156626506</c:v>
                </c:pt>
                <c:pt idx="1">
                  <c:v>7.8127147766323022</c:v>
                </c:pt>
                <c:pt idx="2">
                  <c:v>7.9</c:v>
                </c:pt>
                <c:pt idx="3">
                  <c:v>8.34375</c:v>
                </c:pt>
                <c:pt idx="4">
                  <c:v>13.555555555555555</c:v>
                </c:pt>
                <c:pt idx="5">
                  <c:v>5.9130434782608692</c:v>
                </c:pt>
                <c:pt idx="6">
                  <c:v>9</c:v>
                </c:pt>
                <c:pt idx="7">
                  <c:v>10.363636363636363</c:v>
                </c:pt>
                <c:pt idx="8">
                  <c:v>9.8235294117647065</c:v>
                </c:pt>
                <c:pt idx="12">
                  <c:v>7.9717102443206169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1C9-46E6-8F6B-E5AEC3CBD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resd'!$C$249:$D$249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1C9-46E6-8F6B-E5AEC3CBD9A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resd'!$C$251:$C$263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7.6333878887070377</c:v>
                      </c:pt>
                      <c:pt idx="1">
                        <c:v>6.9110486891385765</c:v>
                      </c:pt>
                      <c:pt idx="2">
                        <c:v>11.471631205673759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3</c:v>
                      </c:pt>
                      <c:pt idx="9">
                        <c:v>1.5</c:v>
                      </c:pt>
                      <c:pt idx="10">
                        <c:v>3.6666666666666665</c:v>
                      </c:pt>
                      <c:pt idx="11">
                        <c:v>8.5</c:v>
                      </c:pt>
                      <c:pt idx="12">
                        <c:v>7.7675593734209194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1C9-46E6-8F6B-E5AEC3CBD9A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resd'!$N$250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1C9-46E6-8F6B-E5AEC3CBD9A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1C9-46E6-8F6B-E5AEC3CBD9A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1C9-46E6-8F6B-E5AEC3CBD9A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1C9-46E6-8F6B-E5AEC3CBD9A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1C9-46E6-8F6B-E5AEC3CBD9A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1C9-46E6-8F6B-E5AEC3CBD9A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1C9-46E6-8F6B-E5AEC3CBD9A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1C9-46E6-8F6B-E5AEC3CBD9A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1C9-46E6-8F6B-E5AEC3CBD9A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1C9-46E6-8F6B-E5AEC3CBD9A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1C9-46E6-8F6B-E5AEC3CBD9A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1C9-46E6-8F6B-E5AEC3CBD9A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1C9-46E6-8F6B-E5AEC3CBD9AA}"/>
              </c:ext>
            </c:extLst>
          </c:dPt>
          <c:cat>
            <c:strRef>
              <c:f>'EM evol menusual lugar resd'!$B$251:$B$262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resd'!$N$251:$N$263</c:f>
              <c:numCache>
                <c:formatCode>0.00</c:formatCode>
                <c:ptCount val="13"/>
                <c:pt idx="0">
                  <c:v>-0.93258097324362321</c:v>
                </c:pt>
                <c:pt idx="1">
                  <c:v>-0.15436986286613052</c:v>
                </c:pt>
                <c:pt idx="2">
                  <c:v>-0.16412825651302576</c:v>
                </c:pt>
                <c:pt idx="3">
                  <c:v>0.9644396551724137</c:v>
                </c:pt>
                <c:pt idx="4">
                  <c:v>4.782828282828282</c:v>
                </c:pt>
                <c:pt idx="5">
                  <c:v>1.2463768115942022</c:v>
                </c:pt>
                <c:pt idx="6">
                  <c:v>0.52941176470588225</c:v>
                </c:pt>
                <c:pt idx="7">
                  <c:v>3.9236363636363629</c:v>
                </c:pt>
                <c:pt idx="8">
                  <c:v>0.42352941176470615</c:v>
                </c:pt>
                <c:pt idx="12">
                  <c:v>-0.19037227041415683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1C9-46E6-8F6B-E5AEC3CBD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resd'!$I$271:$J$271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05C-4B3B-BFBE-F852F49B1D3C}"/>
              </c:ext>
            </c:extLst>
          </c:dPt>
          <c:val>
            <c:numRef>
              <c:f>'EM evol menusual lugar resd'!$I$273:$I$285</c:f>
              <c:numCache>
                <c:formatCode>0.00</c:formatCode>
                <c:ptCount val="13"/>
                <c:pt idx="0">
                  <c:v>7.5795454545454541</c:v>
                </c:pt>
                <c:pt idx="1">
                  <c:v>7.9409190371991247</c:v>
                </c:pt>
                <c:pt idx="2">
                  <c:v>8.3464285714285715</c:v>
                </c:pt>
                <c:pt idx="3">
                  <c:v>8.6014234875444835</c:v>
                </c:pt>
                <c:pt idx="4">
                  <c:v>4.75</c:v>
                </c:pt>
                <c:pt idx="5">
                  <c:v>3.8181818181818183</c:v>
                </c:pt>
                <c:pt idx="6">
                  <c:v>8.615384615384615</c:v>
                </c:pt>
                <c:pt idx="7">
                  <c:v>5.875</c:v>
                </c:pt>
                <c:pt idx="8">
                  <c:v>4.8181818181818183</c:v>
                </c:pt>
                <c:pt idx="9">
                  <c:v>4.2424242424242422</c:v>
                </c:pt>
                <c:pt idx="10">
                  <c:v>7.3499079189686922</c:v>
                </c:pt>
                <c:pt idx="11">
                  <c:v>6.8734622144112478</c:v>
                </c:pt>
                <c:pt idx="12">
                  <c:v>7.4090121317157713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5C-4B3B-BFBE-F852F49B1D3C}"/>
            </c:ext>
          </c:extLst>
        </c:ser>
        <c:ser>
          <c:idx val="0"/>
          <c:order val="2"/>
          <c:tx>
            <c:strRef>
              <c:f>'EM evol menusual lugar resd'!$K$271:$L$271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05C-4B3B-BFBE-F852F49B1D3C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resd'!$K$273:$K$285</c:f>
              <c:numCache>
                <c:formatCode>0.00</c:formatCode>
                <c:ptCount val="13"/>
                <c:pt idx="0">
                  <c:v>6.8472505091649696</c:v>
                </c:pt>
                <c:pt idx="1">
                  <c:v>7.9557739557739557</c:v>
                </c:pt>
                <c:pt idx="2">
                  <c:v>6.3968609865470851</c:v>
                </c:pt>
                <c:pt idx="3">
                  <c:v>9.5833333333333339</c:v>
                </c:pt>
                <c:pt idx="4">
                  <c:v>5.0714285714285712</c:v>
                </c:pt>
                <c:pt idx="5">
                  <c:v>4.8</c:v>
                </c:pt>
                <c:pt idx="6">
                  <c:v>5.84</c:v>
                </c:pt>
                <c:pt idx="7">
                  <c:v>1</c:v>
                </c:pt>
                <c:pt idx="8">
                  <c:v>8.5</c:v>
                </c:pt>
                <c:pt idx="9">
                  <c:v>4.9301310043668121</c:v>
                </c:pt>
                <c:pt idx="10">
                  <c:v>6.8747591522158</c:v>
                </c:pt>
                <c:pt idx="11">
                  <c:v>7.6053719008264462</c:v>
                </c:pt>
                <c:pt idx="12">
                  <c:v>6.9926766752105456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05C-4B3B-BFBE-F852F49B1D3C}"/>
            </c:ext>
          </c:extLst>
        </c:ser>
        <c:ser>
          <c:idx val="1"/>
          <c:order val="3"/>
          <c:tx>
            <c:strRef>
              <c:f>'EM evol menusual lugar resd'!$M$271:$N$271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05C-4B3B-BFBE-F852F49B1D3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05C-4B3B-BFBE-F852F49B1D3C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resd'!$M$273:$M$285</c:f>
              <c:numCache>
                <c:formatCode>0.00</c:formatCode>
                <c:ptCount val="13"/>
                <c:pt idx="0">
                  <c:v>7.7660818713450288</c:v>
                </c:pt>
                <c:pt idx="1">
                  <c:v>8.9305555555555554</c:v>
                </c:pt>
                <c:pt idx="2">
                  <c:v>7.2537764350453173</c:v>
                </c:pt>
                <c:pt idx="3">
                  <c:v>9.4421052631578952</c:v>
                </c:pt>
                <c:pt idx="4">
                  <c:v>5.6428571428571432</c:v>
                </c:pt>
                <c:pt idx="5">
                  <c:v>7.2173913043478262</c:v>
                </c:pt>
                <c:pt idx="6">
                  <c:v>6.44</c:v>
                </c:pt>
                <c:pt idx="7">
                  <c:v>9.5</c:v>
                </c:pt>
                <c:pt idx="8">
                  <c:v>3.7142857142857144</c:v>
                </c:pt>
                <c:pt idx="12">
                  <c:v>7.973521624007061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05C-4B3B-BFBE-F852F49B1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resd'!$C$271:$D$271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05C-4B3B-BFBE-F852F49B1D3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resd'!$C$273:$C$285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7.4640423921271761</c:v>
                      </c:pt>
                      <c:pt idx="1">
                        <c:v>6.8924930491195555</c:v>
                      </c:pt>
                      <c:pt idx="2">
                        <c:v>8.9118942731277535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5.666666666666667</c:v>
                      </c:pt>
                      <c:pt idx="8">
                        <c:v>0</c:v>
                      </c:pt>
                      <c:pt idx="9">
                        <c:v>5.807017543859649</c:v>
                      </c:pt>
                      <c:pt idx="10">
                        <c:v>8.5714285714285712</c:v>
                      </c:pt>
                      <c:pt idx="11">
                        <c:v>4.583333333333333</c:v>
                      </c:pt>
                      <c:pt idx="12">
                        <c:v>7.288641975308642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05C-4B3B-BFBE-F852F49B1D3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resd'!$N$272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05C-4B3B-BFBE-F852F49B1D3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05C-4B3B-BFBE-F852F49B1D3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05C-4B3B-BFBE-F852F49B1D3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05C-4B3B-BFBE-F852F49B1D3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05C-4B3B-BFBE-F852F49B1D3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05C-4B3B-BFBE-F852F49B1D3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05C-4B3B-BFBE-F852F49B1D3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05C-4B3B-BFBE-F852F49B1D3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05C-4B3B-BFBE-F852F49B1D3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05C-4B3B-BFBE-F852F49B1D3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05C-4B3B-BFBE-F852F49B1D3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05C-4B3B-BFBE-F852F49B1D3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05C-4B3B-BFBE-F852F49B1D3C}"/>
              </c:ext>
            </c:extLst>
          </c:dPt>
          <c:cat>
            <c:strRef>
              <c:f>'EM evol menusual lugar resd'!$B$273:$B$284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resd'!$N$273:$N$285</c:f>
              <c:numCache>
                <c:formatCode>0.00</c:formatCode>
                <c:ptCount val="13"/>
                <c:pt idx="0">
                  <c:v>0.91883136218005923</c:v>
                </c:pt>
                <c:pt idx="1">
                  <c:v>0.97478159978159962</c:v>
                </c:pt>
                <c:pt idx="2">
                  <c:v>0.8569154484982322</c:v>
                </c:pt>
                <c:pt idx="3">
                  <c:v>-0.1412280701754387</c:v>
                </c:pt>
                <c:pt idx="4">
                  <c:v>0.57142857142857206</c:v>
                </c:pt>
                <c:pt idx="5">
                  <c:v>2.4173913043478263</c:v>
                </c:pt>
                <c:pt idx="6">
                  <c:v>0.60000000000000053</c:v>
                </c:pt>
                <c:pt idx="7">
                  <c:v>8.5</c:v>
                </c:pt>
                <c:pt idx="8">
                  <c:v>-4.7857142857142856</c:v>
                </c:pt>
                <c:pt idx="12">
                  <c:v>0.82275444588831537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05C-4B3B-BFBE-F852F49B1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0C6-478F-834E-801472CD35D9}"/>
              </c:ext>
            </c:extLst>
          </c:dPt>
          <c:val>
            <c:numRef>
              <c:f>'EM evol mensu TF cat '!$I$9:$I$21</c:f>
              <c:numCache>
                <c:formatCode>0.00</c:formatCode>
                <c:ptCount val="13"/>
                <c:pt idx="0">
                  <c:v>7.2885726989773234</c:v>
                </c:pt>
                <c:pt idx="1">
                  <c:v>6.7735424066533829</c:v>
                </c:pt>
                <c:pt idx="2">
                  <c:v>6.7377011388261332</c:v>
                </c:pt>
                <c:pt idx="3">
                  <c:v>6.1673905637881115</c:v>
                </c:pt>
                <c:pt idx="4">
                  <c:v>6.5183552234649831</c:v>
                </c:pt>
                <c:pt idx="5">
                  <c:v>6.7547590790410634</c:v>
                </c:pt>
                <c:pt idx="6">
                  <c:v>6.8557834898665346</c:v>
                </c:pt>
                <c:pt idx="7">
                  <c:v>7.1337124926456168</c:v>
                </c:pt>
                <c:pt idx="8">
                  <c:v>6.8220845019451737</c:v>
                </c:pt>
                <c:pt idx="9">
                  <c:v>6.8264086055904345</c:v>
                </c:pt>
                <c:pt idx="10">
                  <c:v>6.7909695542611646</c:v>
                </c:pt>
                <c:pt idx="11">
                  <c:v>6.5663159638803741</c:v>
                </c:pt>
                <c:pt idx="12">
                  <c:v>6.7723569064660403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C6-478F-834E-801472CD35D9}"/>
            </c:ext>
          </c:extLst>
        </c:ser>
        <c:ser>
          <c:idx val="0"/>
          <c:order val="2"/>
          <c:tx>
            <c:strRef>
              <c:f>'EM evol mensu TF cat 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0C6-478F-834E-801472CD35D9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'!$K$9:$K$21</c:f>
              <c:numCache>
                <c:formatCode>0.00</c:formatCode>
                <c:ptCount val="13"/>
                <c:pt idx="0">
                  <c:v>7.65598233995585</c:v>
                </c:pt>
                <c:pt idx="1">
                  <c:v>6.9712386605911121</c:v>
                </c:pt>
                <c:pt idx="2">
                  <c:v>6.4654920309986839</c:v>
                </c:pt>
                <c:pt idx="3">
                  <c:v>6.965188020716055</c:v>
                </c:pt>
                <c:pt idx="4">
                  <c:v>6.820077615250117</c:v>
                </c:pt>
                <c:pt idx="5">
                  <c:v>6.8785517271573049</c:v>
                </c:pt>
                <c:pt idx="6">
                  <c:v>6.9805567830313739</c:v>
                </c:pt>
                <c:pt idx="7">
                  <c:v>7.0900904459101861</c:v>
                </c:pt>
                <c:pt idx="8">
                  <c:v>6.8866018317439339</c:v>
                </c:pt>
                <c:pt idx="9">
                  <c:v>6.499798836911598</c:v>
                </c:pt>
                <c:pt idx="10">
                  <c:v>6.9614775499721784</c:v>
                </c:pt>
                <c:pt idx="11">
                  <c:v>6.8930442249892661</c:v>
                </c:pt>
                <c:pt idx="12">
                  <c:v>6.910044821236232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0C6-478F-834E-801472CD35D9}"/>
            </c:ext>
          </c:extLst>
        </c:ser>
        <c:ser>
          <c:idx val="1"/>
          <c:order val="3"/>
          <c:tx>
            <c:strRef>
              <c:f>'EM evol mensu TF cat 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0C6-478F-834E-801472CD35D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0C6-478F-834E-801472CD35D9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'!$M$9:$M$21</c:f>
              <c:numCache>
                <c:formatCode>0.00</c:formatCode>
                <c:ptCount val="13"/>
                <c:pt idx="0">
                  <c:v>7.5436789772727275</c:v>
                </c:pt>
                <c:pt idx="1">
                  <c:v>7.2220742967575688</c:v>
                </c:pt>
                <c:pt idx="2">
                  <c:v>6.9178930739170204</c:v>
                </c:pt>
                <c:pt idx="3">
                  <c:v>6.8137684550908393</c:v>
                </c:pt>
                <c:pt idx="4">
                  <c:v>7.3308251433251437</c:v>
                </c:pt>
                <c:pt idx="5">
                  <c:v>6.7413964333520449</c:v>
                </c:pt>
                <c:pt idx="6">
                  <c:v>6.7038852318259874</c:v>
                </c:pt>
                <c:pt idx="7">
                  <c:v>7.4288856592953376</c:v>
                </c:pt>
                <c:pt idx="8">
                  <c:v>6.7704580121202129</c:v>
                </c:pt>
                <c:pt idx="12">
                  <c:v>7.0403072992939792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0C6-478F-834E-801472CD3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0C6-478F-834E-801472CD35D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'!$C$9:$C$21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7.5032095478103749</c:v>
                      </c:pt>
                      <c:pt idx="1">
                        <c:v>7.7170021872070702</c:v>
                      </c:pt>
                      <c:pt idx="2">
                        <c:v>9.2506486181613088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4.5515607371192175</c:v>
                      </c:pt>
                      <c:pt idx="8">
                        <c:v>4.0015720524017464</c:v>
                      </c:pt>
                      <c:pt idx="9">
                        <c:v>3.6523630907726932</c:v>
                      </c:pt>
                      <c:pt idx="10">
                        <c:v>6.220779220779221</c:v>
                      </c:pt>
                      <c:pt idx="11">
                        <c:v>5.3013895543842837</c:v>
                      </c:pt>
                      <c:pt idx="12">
                        <c:v>6.3173322576307651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0C6-478F-834E-801472CD35D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'!$N$8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0C6-478F-834E-801472CD35D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0C6-478F-834E-801472CD35D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0C6-478F-834E-801472CD35D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0C6-478F-834E-801472CD35D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0C6-478F-834E-801472CD35D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0C6-478F-834E-801472CD35D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0C6-478F-834E-801472CD35D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0C6-478F-834E-801472CD35D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0C6-478F-834E-801472CD35D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0C6-478F-834E-801472CD35D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0C6-478F-834E-801472CD35D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0C6-478F-834E-801472CD35D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0C6-478F-834E-801472CD35D9}"/>
              </c:ext>
            </c:extLst>
          </c:dPt>
          <c:cat>
            <c:strRef>
              <c:f>'EM evol mensu TF cat 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'!$N$9:$N$21</c:f>
              <c:numCache>
                <c:formatCode>0.00</c:formatCode>
                <c:ptCount val="13"/>
                <c:pt idx="0">
                  <c:v>-0.11230336268312247</c:v>
                </c:pt>
                <c:pt idx="1">
                  <c:v>0.25083563616645677</c:v>
                </c:pt>
                <c:pt idx="2">
                  <c:v>0.45240104291833649</c:v>
                </c:pt>
                <c:pt idx="3">
                  <c:v>-0.15141956562521575</c:v>
                </c:pt>
                <c:pt idx="4">
                  <c:v>0.51074752807502666</c:v>
                </c:pt>
                <c:pt idx="5">
                  <c:v>-0.13715529380526004</c:v>
                </c:pt>
                <c:pt idx="6">
                  <c:v>-0.27667155120538656</c:v>
                </c:pt>
                <c:pt idx="7">
                  <c:v>0.33879521338515151</c:v>
                </c:pt>
                <c:pt idx="8">
                  <c:v>-0.116143819623721</c:v>
                </c:pt>
                <c:pt idx="12">
                  <c:v>8.1571750972057266E-2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0C6-478F-834E-801472CD3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TF'!$I$117:$J$117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A4F-4F8D-810F-890B6CF1D752}"/>
              </c:ext>
            </c:extLst>
          </c:dPt>
          <c:val>
            <c:numRef>
              <c:f>'Viajeros entr evol mensu TF'!$I$119:$I$131</c:f>
              <c:numCache>
                <c:formatCode>#,##0</c:formatCode>
                <c:ptCount val="13"/>
                <c:pt idx="0">
                  <c:v>7748</c:v>
                </c:pt>
                <c:pt idx="1">
                  <c:v>8576</c:v>
                </c:pt>
                <c:pt idx="2">
                  <c:v>7226</c:v>
                </c:pt>
                <c:pt idx="3">
                  <c:v>7139</c:v>
                </c:pt>
                <c:pt idx="4">
                  <c:v>8883</c:v>
                </c:pt>
                <c:pt idx="5">
                  <c:v>8301</c:v>
                </c:pt>
                <c:pt idx="6">
                  <c:v>9581</c:v>
                </c:pt>
                <c:pt idx="7">
                  <c:v>10320</c:v>
                </c:pt>
                <c:pt idx="8">
                  <c:v>9284</c:v>
                </c:pt>
                <c:pt idx="9">
                  <c:v>10847</c:v>
                </c:pt>
                <c:pt idx="10">
                  <c:v>9244</c:v>
                </c:pt>
                <c:pt idx="11">
                  <c:v>8681</c:v>
                </c:pt>
                <c:pt idx="12">
                  <c:v>105830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4F-4F8D-810F-890B6CF1D752}"/>
            </c:ext>
          </c:extLst>
        </c:ser>
        <c:ser>
          <c:idx val="0"/>
          <c:order val="2"/>
          <c:tx>
            <c:strRef>
              <c:f>'Viajeros entr evol mensu TF'!$K$117:$L$117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A4F-4F8D-810F-890B6CF1D752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TF'!$K$119:$K$131</c:f>
              <c:numCache>
                <c:formatCode>#,##0</c:formatCode>
                <c:ptCount val="13"/>
                <c:pt idx="0">
                  <c:v>8574</c:v>
                </c:pt>
                <c:pt idx="1">
                  <c:v>9308</c:v>
                </c:pt>
                <c:pt idx="2">
                  <c:v>9445</c:v>
                </c:pt>
                <c:pt idx="3">
                  <c:v>8977</c:v>
                </c:pt>
                <c:pt idx="4">
                  <c:v>10301</c:v>
                </c:pt>
                <c:pt idx="5">
                  <c:v>10338</c:v>
                </c:pt>
                <c:pt idx="6">
                  <c:v>10171</c:v>
                </c:pt>
                <c:pt idx="7">
                  <c:v>10030</c:v>
                </c:pt>
                <c:pt idx="8">
                  <c:v>9243</c:v>
                </c:pt>
                <c:pt idx="9">
                  <c:v>11119</c:v>
                </c:pt>
                <c:pt idx="10">
                  <c:v>9424</c:v>
                </c:pt>
                <c:pt idx="11">
                  <c:v>9229</c:v>
                </c:pt>
                <c:pt idx="12">
                  <c:v>116159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A4F-4F8D-810F-890B6CF1D752}"/>
            </c:ext>
          </c:extLst>
        </c:ser>
        <c:ser>
          <c:idx val="1"/>
          <c:order val="3"/>
          <c:tx>
            <c:strRef>
              <c:f>'Viajeros entr evol mensu TF'!$M$117:$N$117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A4F-4F8D-810F-890B6CF1D75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A4F-4F8D-810F-890B6CF1D752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TF'!$M$119:$M$131</c:f>
              <c:numCache>
                <c:formatCode>#,##0</c:formatCode>
                <c:ptCount val="13"/>
                <c:pt idx="0">
                  <c:v>8868</c:v>
                </c:pt>
                <c:pt idx="1">
                  <c:v>9450</c:v>
                </c:pt>
                <c:pt idx="2">
                  <c:v>9153</c:v>
                </c:pt>
                <c:pt idx="3">
                  <c:v>9475</c:v>
                </c:pt>
                <c:pt idx="4">
                  <c:v>9728</c:v>
                </c:pt>
                <c:pt idx="5">
                  <c:v>10224</c:v>
                </c:pt>
                <c:pt idx="6">
                  <c:v>10842</c:v>
                </c:pt>
                <c:pt idx="7">
                  <c:v>10751</c:v>
                </c:pt>
                <c:pt idx="8">
                  <c:v>9507</c:v>
                </c:pt>
                <c:pt idx="12">
                  <c:v>87998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A4F-4F8D-810F-890B6CF1D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TF'!$C$117:$D$117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A4F-4F8D-810F-890B6CF1D75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TF'!$C$119:$C$131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8678</c:v>
                      </c:pt>
                      <c:pt idx="1">
                        <c:v>8839</c:v>
                      </c:pt>
                      <c:pt idx="2">
                        <c:v>4215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302</c:v>
                      </c:pt>
                      <c:pt idx="8">
                        <c:v>247</c:v>
                      </c:pt>
                      <c:pt idx="9">
                        <c:v>683</c:v>
                      </c:pt>
                      <c:pt idx="10">
                        <c:v>1361</c:v>
                      </c:pt>
                      <c:pt idx="11">
                        <c:v>1252</c:v>
                      </c:pt>
                      <c:pt idx="12">
                        <c:v>26093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A4F-4F8D-810F-890B6CF1D75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TF'!$N$118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A4F-4F8D-810F-890B6CF1D75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A4F-4F8D-810F-890B6CF1D75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A4F-4F8D-810F-890B6CF1D75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A4F-4F8D-810F-890B6CF1D75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A4F-4F8D-810F-890B6CF1D75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A4F-4F8D-810F-890B6CF1D75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A4F-4F8D-810F-890B6CF1D75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A4F-4F8D-810F-890B6CF1D75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A4F-4F8D-810F-890B6CF1D75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A4F-4F8D-810F-890B6CF1D75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A4F-4F8D-810F-890B6CF1D75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A4F-4F8D-810F-890B6CF1D75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A4F-4F8D-810F-890B6CF1D752}"/>
              </c:ext>
            </c:extLst>
          </c:dPt>
          <c:cat>
            <c:strRef>
              <c:f>'Viajeros entr evol mensu TF'!$B$119:$B$130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TF'!$N$119:$N$131</c:f>
              <c:numCache>
                <c:formatCode>0.0%</c:formatCode>
                <c:ptCount val="13"/>
                <c:pt idx="0">
                  <c:v>3.4289713086074203E-2</c:v>
                </c:pt>
                <c:pt idx="1">
                  <c:v>1.5255694026643729E-2</c:v>
                </c:pt>
                <c:pt idx="2">
                  <c:v>-3.0915828480677643E-2</c:v>
                </c:pt>
                <c:pt idx="3">
                  <c:v>5.5475103041105145E-2</c:v>
                </c:pt>
                <c:pt idx="4">
                  <c:v>-5.5625667410931001E-2</c:v>
                </c:pt>
                <c:pt idx="5">
                  <c:v>-1.1027278003482244E-2</c:v>
                </c:pt>
                <c:pt idx="6">
                  <c:v>6.5971880837675689E-2</c:v>
                </c:pt>
                <c:pt idx="7">
                  <c:v>7.1884346959122603E-2</c:v>
                </c:pt>
                <c:pt idx="8">
                  <c:v>2.8562155144433721E-2</c:v>
                </c:pt>
                <c:pt idx="12">
                  <c:v>1.8648639262851985E-2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A4F-4F8D-810F-890B6CF1D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0624332445310046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894-4D2E-90CD-2029E56F1127}"/>
              </c:ext>
            </c:extLst>
          </c:dPt>
          <c:val>
            <c:numRef>
              <c:f>'EM evol mensu TF cat '!$I$31:$I$43</c:f>
              <c:numCache>
                <c:formatCode>0.00</c:formatCode>
                <c:ptCount val="13"/>
                <c:pt idx="0">
                  <c:v>7.3121399847842623</c:v>
                </c:pt>
                <c:pt idx="1">
                  <c:v>6.7495257166947722</c:v>
                </c:pt>
                <c:pt idx="2">
                  <c:v>6.7355343379730819</c:v>
                </c:pt>
                <c:pt idx="3">
                  <c:v>6.2256879784812744</c:v>
                </c:pt>
                <c:pt idx="4">
                  <c:v>6.6629379024337005</c:v>
                </c:pt>
                <c:pt idx="5">
                  <c:v>6.9370747342968002</c:v>
                </c:pt>
                <c:pt idx="6">
                  <c:v>6.9112867374660407</c:v>
                </c:pt>
                <c:pt idx="7">
                  <c:v>7.3794321023981171</c:v>
                </c:pt>
                <c:pt idx="8">
                  <c:v>6.9975186104218361</c:v>
                </c:pt>
                <c:pt idx="9">
                  <c:v>6.9798752558230195</c:v>
                </c:pt>
                <c:pt idx="10">
                  <c:v>6.7701183875318449</c:v>
                </c:pt>
                <c:pt idx="11">
                  <c:v>6.5663884479492038</c:v>
                </c:pt>
                <c:pt idx="12">
                  <c:v>6.8539201732403097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94-4D2E-90CD-2029E56F1127}"/>
            </c:ext>
          </c:extLst>
        </c:ser>
        <c:ser>
          <c:idx val="0"/>
          <c:order val="2"/>
          <c:tx>
            <c:strRef>
              <c:f>'EM evol mensu TF cat 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894-4D2E-90CD-2029E56F1127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'!$K$31:$K$43</c:f>
              <c:numCache>
                <c:formatCode>0.00</c:formatCode>
                <c:ptCount val="13"/>
                <c:pt idx="0">
                  <c:v>7.7830106115304671</c:v>
                </c:pt>
                <c:pt idx="1">
                  <c:v>7.0446694460988688</c:v>
                </c:pt>
                <c:pt idx="2">
                  <c:v>6.5830399855582638</c:v>
                </c:pt>
                <c:pt idx="3">
                  <c:v>7.0874621376027696</c:v>
                </c:pt>
                <c:pt idx="4">
                  <c:v>7.071705031574659</c:v>
                </c:pt>
                <c:pt idx="5">
                  <c:v>7.119649250246459</c:v>
                </c:pt>
                <c:pt idx="6">
                  <c:v>7.1540335151987531</c:v>
                </c:pt>
                <c:pt idx="7">
                  <c:v>7.2201022146507663</c:v>
                </c:pt>
                <c:pt idx="8">
                  <c:v>7.0984699200185464</c:v>
                </c:pt>
                <c:pt idx="9">
                  <c:v>6.6309703145768717</c:v>
                </c:pt>
                <c:pt idx="10">
                  <c:v>7.0974414220307027</c:v>
                </c:pt>
                <c:pt idx="11">
                  <c:v>7.0378726397229885</c:v>
                </c:pt>
                <c:pt idx="12">
                  <c:v>7.063027169075573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894-4D2E-90CD-2029E56F1127}"/>
            </c:ext>
          </c:extLst>
        </c:ser>
        <c:ser>
          <c:idx val="1"/>
          <c:order val="3"/>
          <c:tx>
            <c:strRef>
              <c:f>'EM evol mensu TF cat 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894-4D2E-90CD-2029E56F112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894-4D2E-90CD-2029E56F1127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'!$M$31:$M$43</c:f>
              <c:numCache>
                <c:formatCode>0.00</c:formatCode>
                <c:ptCount val="13"/>
                <c:pt idx="0">
                  <c:v>7.6305019305019304</c:v>
                </c:pt>
                <c:pt idx="1">
                  <c:v>7.1990871891721753</c:v>
                </c:pt>
                <c:pt idx="2">
                  <c:v>6.8430692311616754</c:v>
                </c:pt>
                <c:pt idx="3">
                  <c:v>6.8284109816971714</c:v>
                </c:pt>
                <c:pt idx="4">
                  <c:v>7.8248397332124586</c:v>
                </c:pt>
                <c:pt idx="5">
                  <c:v>6.8711458333333333</c:v>
                </c:pt>
                <c:pt idx="6">
                  <c:v>6.7409203102961914</c:v>
                </c:pt>
                <c:pt idx="7">
                  <c:v>7.6395521243417353</c:v>
                </c:pt>
                <c:pt idx="8">
                  <c:v>6.7718217497143423</c:v>
                </c:pt>
                <c:pt idx="12">
                  <c:v>7.122234807332239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894-4D2E-90CD-2029E56F1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894-4D2E-90CD-2029E56F112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'!$C$31:$C$43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7.1722886288253331</c:v>
                      </c:pt>
                      <c:pt idx="1">
                        <c:v>7.7980511144824369</c:v>
                      </c:pt>
                      <c:pt idx="2">
                        <c:v>9.5442463533225279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4.5153065649119766</c:v>
                      </c:pt>
                      <c:pt idx="8">
                        <c:v>3.9986810287975381</c:v>
                      </c:pt>
                      <c:pt idx="9">
                        <c:v>3.5746102449888641</c:v>
                      </c:pt>
                      <c:pt idx="10">
                        <c:v>6.106996819627442</c:v>
                      </c:pt>
                      <c:pt idx="11">
                        <c:v>5.2586779911373709</c:v>
                      </c:pt>
                      <c:pt idx="12">
                        <c:v>6.1436409624489263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894-4D2E-90CD-2029E56F112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'!$N$30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894-4D2E-90CD-2029E56F112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894-4D2E-90CD-2029E56F112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894-4D2E-90CD-2029E56F112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894-4D2E-90CD-2029E56F112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894-4D2E-90CD-2029E56F112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894-4D2E-90CD-2029E56F112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894-4D2E-90CD-2029E56F112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894-4D2E-90CD-2029E56F112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894-4D2E-90CD-2029E56F112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894-4D2E-90CD-2029E56F112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894-4D2E-90CD-2029E56F112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894-4D2E-90CD-2029E56F112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894-4D2E-90CD-2029E56F1127}"/>
              </c:ext>
            </c:extLst>
          </c:dPt>
          <c:cat>
            <c:strRef>
              <c:f>'EM evol mensu TF cat 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'!$N$31:$N$43</c:f>
              <c:numCache>
                <c:formatCode>0.00</c:formatCode>
                <c:ptCount val="13"/>
                <c:pt idx="0">
                  <c:v>-0.15250868102853676</c:v>
                </c:pt>
                <c:pt idx="1">
                  <c:v>0.15441774307330647</c:v>
                </c:pt>
                <c:pt idx="2">
                  <c:v>0.26002924560341167</c:v>
                </c:pt>
                <c:pt idx="3">
                  <c:v>-0.25905115590559813</c:v>
                </c:pt>
                <c:pt idx="4">
                  <c:v>0.75313470163779961</c:v>
                </c:pt>
                <c:pt idx="5">
                  <c:v>-0.24850341691312572</c:v>
                </c:pt>
                <c:pt idx="6">
                  <c:v>-0.41311320490256165</c:v>
                </c:pt>
                <c:pt idx="7">
                  <c:v>0.41944990969096896</c:v>
                </c:pt>
                <c:pt idx="8">
                  <c:v>-0.32664817030420412</c:v>
                </c:pt>
                <c:pt idx="12">
                  <c:v>4.8860165522581767E-3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894-4D2E-90CD-2029E56F1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1187294267900032"/>
          <c:w val="0.86939722222222227"/>
          <c:h val="0.42070463713947498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18A-400E-8EA3-C0763ED879F7}"/>
              </c:ext>
            </c:extLst>
          </c:dPt>
          <c:val>
            <c:numRef>
              <c:f>'EM evol mensu TF cat '!$I$53:$I$65</c:f>
              <c:numCache>
                <c:formatCode>0.00</c:formatCode>
                <c:ptCount val="13"/>
                <c:pt idx="0">
                  <c:v>7.5696016069635084</c:v>
                </c:pt>
                <c:pt idx="1">
                  <c:v>7.1070247129791788</c:v>
                </c:pt>
                <c:pt idx="2">
                  <c:v>7.0281066163120052</c:v>
                </c:pt>
                <c:pt idx="3">
                  <c:v>6.4091439688715957</c:v>
                </c:pt>
                <c:pt idx="4">
                  <c:v>6.6776628459603016</c:v>
                </c:pt>
                <c:pt idx="5">
                  <c:v>7.1394742559200521</c:v>
                </c:pt>
                <c:pt idx="6">
                  <c:v>7.1045693075643159</c:v>
                </c:pt>
                <c:pt idx="7">
                  <c:v>7.7446084724005138</c:v>
                </c:pt>
                <c:pt idx="8">
                  <c:v>7.0548697823760254</c:v>
                </c:pt>
                <c:pt idx="9">
                  <c:v>7.3329767822311709</c:v>
                </c:pt>
                <c:pt idx="10">
                  <c:v>7.0038556349156185</c:v>
                </c:pt>
                <c:pt idx="11">
                  <c:v>6.6860472644868887</c:v>
                </c:pt>
                <c:pt idx="12">
                  <c:v>7.0736233461824725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8A-400E-8EA3-C0763ED879F7}"/>
            </c:ext>
          </c:extLst>
        </c:ser>
        <c:ser>
          <c:idx val="0"/>
          <c:order val="2"/>
          <c:tx>
            <c:strRef>
              <c:f>'EM evol mensu TF cat 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18A-400E-8EA3-C0763ED879F7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'!$K$53:$K$65</c:f>
              <c:numCache>
                <c:formatCode>0.00</c:formatCode>
                <c:ptCount val="13"/>
                <c:pt idx="0">
                  <c:v>7.9239933119687889</c:v>
                </c:pt>
                <c:pt idx="1">
                  <c:v>7.2324605998983227</c:v>
                </c:pt>
                <c:pt idx="2">
                  <c:v>6.6665713795666344</c:v>
                </c:pt>
                <c:pt idx="3">
                  <c:v>7.219209496829893</c:v>
                </c:pt>
                <c:pt idx="4">
                  <c:v>7.0987581312832644</c:v>
                </c:pt>
                <c:pt idx="5">
                  <c:v>7.222138964577657</c:v>
                </c:pt>
                <c:pt idx="6">
                  <c:v>7.3560683324834271</c:v>
                </c:pt>
                <c:pt idx="7">
                  <c:v>7.669089242454004</c:v>
                </c:pt>
                <c:pt idx="8">
                  <c:v>7.4543844791746858</c:v>
                </c:pt>
                <c:pt idx="9">
                  <c:v>6.8535038932146826</c:v>
                </c:pt>
                <c:pt idx="10">
                  <c:v>7.313558145989453</c:v>
                </c:pt>
                <c:pt idx="11">
                  <c:v>7.1532647919929193</c:v>
                </c:pt>
                <c:pt idx="12">
                  <c:v>7.2451577712929884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18A-400E-8EA3-C0763ED879F7}"/>
            </c:ext>
          </c:extLst>
        </c:ser>
        <c:ser>
          <c:idx val="1"/>
          <c:order val="3"/>
          <c:tx>
            <c:strRef>
              <c:f>'EM evol mensu TF cat 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18A-400E-8EA3-C0763ED879F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18A-400E-8EA3-C0763ED879F7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'!$M$53:$M$65</c:f>
              <c:numCache>
                <c:formatCode>0.00</c:formatCode>
                <c:ptCount val="13"/>
                <c:pt idx="0">
                  <c:v>7.7086852477477477</c:v>
                </c:pt>
                <c:pt idx="1">
                  <c:v>7.367411718026716</c:v>
                </c:pt>
                <c:pt idx="2">
                  <c:v>7.0097489486427937</c:v>
                </c:pt>
                <c:pt idx="3">
                  <c:v>6.8985964460468709</c:v>
                </c:pt>
                <c:pt idx="4">
                  <c:v>8.7607566765578628</c:v>
                </c:pt>
                <c:pt idx="5">
                  <c:v>7.2048691170486912</c:v>
                </c:pt>
                <c:pt idx="6">
                  <c:v>6.848147736121927</c:v>
                </c:pt>
                <c:pt idx="7">
                  <c:v>8.2811066314472406</c:v>
                </c:pt>
                <c:pt idx="8">
                  <c:v>6.7072241008300031</c:v>
                </c:pt>
                <c:pt idx="12">
                  <c:v>7.3499981442304128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18A-400E-8EA3-C0763ED87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18A-400E-8EA3-C0763ED879F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'!$C$53:$C$65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6.6858373639661428</c:v>
                      </c:pt>
                      <c:pt idx="1">
                        <c:v>7.6288147622427251</c:v>
                      </c:pt>
                      <c:pt idx="2">
                        <c:v>8.848810437452034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4.7418665400142483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18A-400E-8EA3-C0763ED879F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'!$N$52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18A-400E-8EA3-C0763ED879F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18A-400E-8EA3-C0763ED879F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18A-400E-8EA3-C0763ED879F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18A-400E-8EA3-C0763ED879F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18A-400E-8EA3-C0763ED879F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18A-400E-8EA3-C0763ED879F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18A-400E-8EA3-C0763ED879F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18A-400E-8EA3-C0763ED879F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18A-400E-8EA3-C0763ED879F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18A-400E-8EA3-C0763ED879F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18A-400E-8EA3-C0763ED879F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18A-400E-8EA3-C0763ED879F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18A-400E-8EA3-C0763ED879F7}"/>
              </c:ext>
            </c:extLst>
          </c:dPt>
          <c:cat>
            <c:strRef>
              <c:f>'EM evol mensu TF cat 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'!$N$53:$N$65</c:f>
              <c:numCache>
                <c:formatCode>0.00</c:formatCode>
                <c:ptCount val="13"/>
                <c:pt idx="0">
                  <c:v>-0.21530806422104121</c:v>
                </c:pt>
                <c:pt idx="1">
                  <c:v>0.13495111812839333</c:v>
                </c:pt>
                <c:pt idx="2">
                  <c:v>0.34317756907615937</c:v>
                </c:pt>
                <c:pt idx="3">
                  <c:v>-0.32061305078302205</c:v>
                </c:pt>
                <c:pt idx="4">
                  <c:v>1.6619985452745984</c:v>
                </c:pt>
                <c:pt idx="5">
                  <c:v>-1.7269847528965876E-2</c:v>
                </c:pt>
                <c:pt idx="6">
                  <c:v>-0.50792059636150011</c:v>
                </c:pt>
                <c:pt idx="7">
                  <c:v>0.61201738899323654</c:v>
                </c:pt>
                <c:pt idx="8">
                  <c:v>-0.74716037834468274</c:v>
                </c:pt>
                <c:pt idx="12">
                  <c:v>5.048839787061965E-2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18A-400E-8EA3-C0763ED87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724-40C8-8BB7-7D6AD3818B2C}"/>
              </c:ext>
            </c:extLst>
          </c:dPt>
          <c:val>
            <c:numRef>
              <c:f>'EM evol mensu TF cat '!$I$75:$I$87</c:f>
              <c:numCache>
                <c:formatCode>0.00</c:formatCode>
                <c:ptCount val="13"/>
                <c:pt idx="0">
                  <c:v>6.2030573983270836</c:v>
                </c:pt>
                <c:pt idx="1">
                  <c:v>5.2008991289688113</c:v>
                </c:pt>
                <c:pt idx="2">
                  <c:v>5.6217860105059438</c:v>
                </c:pt>
                <c:pt idx="3">
                  <c:v>5.5025562372188137</c:v>
                </c:pt>
                <c:pt idx="4">
                  <c:v>6.6105027376804379</c:v>
                </c:pt>
                <c:pt idx="5">
                  <c:v>6.2337695017614498</c:v>
                </c:pt>
                <c:pt idx="6">
                  <c:v>6.2574150248971643</c:v>
                </c:pt>
                <c:pt idx="7">
                  <c:v>6.1968405736853045</c:v>
                </c:pt>
                <c:pt idx="8">
                  <c:v>6.8024271844660191</c:v>
                </c:pt>
                <c:pt idx="9">
                  <c:v>5.767552387124649</c:v>
                </c:pt>
                <c:pt idx="10">
                  <c:v>5.8892329680800382</c:v>
                </c:pt>
                <c:pt idx="11">
                  <c:v>6.1138589618021548</c:v>
                </c:pt>
                <c:pt idx="12">
                  <c:v>6.0468086842964412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24-40C8-8BB7-7D6AD3818B2C}"/>
            </c:ext>
          </c:extLst>
        </c:ser>
        <c:ser>
          <c:idx val="0"/>
          <c:order val="2"/>
          <c:tx>
            <c:strRef>
              <c:f>'EM evol mensu TF cat 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724-40C8-8BB7-7D6AD3818B2C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'!$K$75:$K$87</c:f>
              <c:numCache>
                <c:formatCode>0.00</c:formatCode>
                <c:ptCount val="13"/>
                <c:pt idx="0">
                  <c:v>7.2678207739307537</c:v>
                </c:pt>
                <c:pt idx="1">
                  <c:v>6.3748866727107885</c:v>
                </c:pt>
                <c:pt idx="2">
                  <c:v>6.2699807156631673</c:v>
                </c:pt>
                <c:pt idx="3">
                  <c:v>6.5540688148552704</c:v>
                </c:pt>
                <c:pt idx="4">
                  <c:v>6.9784921892687342</c:v>
                </c:pt>
                <c:pt idx="5">
                  <c:v>6.792074896581755</c:v>
                </c:pt>
                <c:pt idx="6">
                  <c:v>6.4991735537190083</c:v>
                </c:pt>
                <c:pt idx="7">
                  <c:v>5.9193854324734447</c:v>
                </c:pt>
                <c:pt idx="8">
                  <c:v>6.0145369284876908</c:v>
                </c:pt>
                <c:pt idx="9">
                  <c:v>5.7592592592592595</c:v>
                </c:pt>
                <c:pt idx="10">
                  <c:v>6.3474596677100887</c:v>
                </c:pt>
                <c:pt idx="11">
                  <c:v>6.5914120126448896</c:v>
                </c:pt>
                <c:pt idx="12">
                  <c:v>6.4281585702062936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724-40C8-8BB7-7D6AD3818B2C}"/>
            </c:ext>
          </c:extLst>
        </c:ser>
        <c:ser>
          <c:idx val="1"/>
          <c:order val="3"/>
          <c:tx>
            <c:strRef>
              <c:f>'EM evol mensu TF cat 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724-40C8-8BB7-7D6AD3818B2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724-40C8-8BB7-7D6AD3818B2C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'!$M$75:$M$87</c:f>
              <c:numCache>
                <c:formatCode>0.00</c:formatCode>
                <c:ptCount val="13"/>
                <c:pt idx="0">
                  <c:v>7.3472718001019892</c:v>
                </c:pt>
                <c:pt idx="1">
                  <c:v>6.5530456852791881</c:v>
                </c:pt>
                <c:pt idx="2">
                  <c:v>6.1735346813411827</c:v>
                </c:pt>
                <c:pt idx="3">
                  <c:v>6.5337837837837842</c:v>
                </c:pt>
                <c:pt idx="4">
                  <c:v>5.6585104099592183</c:v>
                </c:pt>
                <c:pt idx="5">
                  <c:v>5.7662775033677596</c:v>
                </c:pt>
                <c:pt idx="6">
                  <c:v>6.3316348195329084</c:v>
                </c:pt>
                <c:pt idx="7">
                  <c:v>5.8554030543205107</c:v>
                </c:pt>
                <c:pt idx="8">
                  <c:v>7.0437370600414075</c:v>
                </c:pt>
                <c:pt idx="12">
                  <c:v>6.3217146286101906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724-40C8-8BB7-7D6AD3818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724-40C8-8BB7-7D6AD3818B2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'!$C$75:$C$87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9.5154714233709505</c:v>
                      </c:pt>
                      <c:pt idx="1">
                        <c:v>8.580380577427821</c:v>
                      </c:pt>
                      <c:pt idx="2">
                        <c:v>13.32776617954071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3.9015760694757158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724-40C8-8BB7-7D6AD3818B2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'!$N$74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724-40C8-8BB7-7D6AD3818B2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724-40C8-8BB7-7D6AD3818B2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724-40C8-8BB7-7D6AD3818B2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724-40C8-8BB7-7D6AD3818B2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724-40C8-8BB7-7D6AD3818B2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724-40C8-8BB7-7D6AD3818B2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724-40C8-8BB7-7D6AD3818B2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724-40C8-8BB7-7D6AD3818B2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724-40C8-8BB7-7D6AD3818B2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724-40C8-8BB7-7D6AD3818B2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724-40C8-8BB7-7D6AD3818B2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724-40C8-8BB7-7D6AD3818B2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724-40C8-8BB7-7D6AD3818B2C}"/>
              </c:ext>
            </c:extLst>
          </c:dPt>
          <c:cat>
            <c:strRef>
              <c:f>'EM evol mensu TF cat 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'!$N$75:$N$87</c:f>
              <c:numCache>
                <c:formatCode>0.00</c:formatCode>
                <c:ptCount val="13"/>
                <c:pt idx="0">
                  <c:v>7.9451026171235561E-2</c:v>
                </c:pt>
                <c:pt idx="1">
                  <c:v>0.17815901256839961</c:v>
                </c:pt>
                <c:pt idx="2">
                  <c:v>-9.6446034321984619E-2</c:v>
                </c:pt>
                <c:pt idx="3">
                  <c:v>-2.0285031071486159E-2</c:v>
                </c:pt>
                <c:pt idx="4">
                  <c:v>-1.3199817793095159</c:v>
                </c:pt>
                <c:pt idx="5">
                  <c:v>-1.0257973932139954</c:v>
                </c:pt>
                <c:pt idx="6">
                  <c:v>-0.16753873418609988</c:v>
                </c:pt>
                <c:pt idx="7">
                  <c:v>-6.3982378152934061E-2</c:v>
                </c:pt>
                <c:pt idx="8">
                  <c:v>1.0292001315537167</c:v>
                </c:pt>
                <c:pt idx="12">
                  <c:v>-0.1759885868881117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724-40C8-8BB7-7D6AD3818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F4F-421D-95CA-15B5A24FC6DC}"/>
              </c:ext>
            </c:extLst>
          </c:dPt>
          <c:val>
            <c:numRef>
              <c:f>'EM evol mensu TF cat '!$I$97:$I$109</c:f>
              <c:numCache>
                <c:formatCode>0.00</c:formatCode>
                <c:ptCount val="13"/>
                <c:pt idx="0">
                  <c:v>7.1824853228962819</c:v>
                </c:pt>
                <c:pt idx="1">
                  <c:v>6.8844282238442824</c:v>
                </c:pt>
                <c:pt idx="2">
                  <c:v>6.7464559609574719</c:v>
                </c:pt>
                <c:pt idx="3">
                  <c:v>5.8959537572254339</c:v>
                </c:pt>
                <c:pt idx="4">
                  <c:v>5.6957466625271653</c:v>
                </c:pt>
                <c:pt idx="5">
                  <c:v>5.7669104204753197</c:v>
                </c:pt>
                <c:pt idx="6">
                  <c:v>6.5770280327462167</c:v>
                </c:pt>
                <c:pt idx="7">
                  <c:v>6.1520376175548588</c:v>
                </c:pt>
                <c:pt idx="8">
                  <c:v>6.0209015361369929</c:v>
                </c:pt>
                <c:pt idx="9">
                  <c:v>6.1241917502787064</c:v>
                </c:pt>
                <c:pt idx="10">
                  <c:v>6.8906399235912126</c:v>
                </c:pt>
                <c:pt idx="11">
                  <c:v>6.5660091047040972</c:v>
                </c:pt>
                <c:pt idx="12">
                  <c:v>6.3953136352627755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4F-421D-95CA-15B5A24FC6DC}"/>
            </c:ext>
          </c:extLst>
        </c:ser>
        <c:ser>
          <c:idx val="0"/>
          <c:order val="2"/>
          <c:tx>
            <c:strRef>
              <c:f>'EM evol mensu TF cat 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F4F-421D-95CA-15B5A24FC6DC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'!$K$97:$K$109</c:f>
              <c:numCache>
                <c:formatCode>0.00</c:formatCode>
                <c:ptCount val="13"/>
                <c:pt idx="0">
                  <c:v>7.124313186813187</c:v>
                </c:pt>
                <c:pt idx="1">
                  <c:v>6.5791147627882323</c:v>
                </c:pt>
                <c:pt idx="2">
                  <c:v>5.9644093882262412</c:v>
                </c:pt>
                <c:pt idx="3">
                  <c:v>6.3570083400591875</c:v>
                </c:pt>
                <c:pt idx="4">
                  <c:v>5.5242591135588777</c:v>
                </c:pt>
                <c:pt idx="5">
                  <c:v>5.5762331838565027</c:v>
                </c:pt>
                <c:pt idx="6">
                  <c:v>6.1647193585337918</c:v>
                </c:pt>
                <c:pt idx="7">
                  <c:v>6.5305823209049016</c:v>
                </c:pt>
                <c:pt idx="8">
                  <c:v>5.9559572301425661</c:v>
                </c:pt>
                <c:pt idx="9">
                  <c:v>5.8792705931670506</c:v>
                </c:pt>
                <c:pt idx="10">
                  <c:v>6.4353897457273863</c:v>
                </c:pt>
                <c:pt idx="11">
                  <c:v>6.3361764094029542</c:v>
                </c:pt>
                <c:pt idx="12">
                  <c:v>6.214340786430224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F4F-421D-95CA-15B5A24FC6DC}"/>
            </c:ext>
          </c:extLst>
        </c:ser>
        <c:ser>
          <c:idx val="1"/>
          <c:order val="3"/>
          <c:tx>
            <c:strRef>
              <c:f>'EM evol mensu TF cat 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F4F-421D-95CA-15B5A24FC6D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F4F-421D-95CA-15B5A24FC6DC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'!$M$97:$M$109</c:f>
              <c:numCache>
                <c:formatCode>0.00</c:formatCode>
                <c:ptCount val="13"/>
                <c:pt idx="0">
                  <c:v>7.185766257389723</c:v>
                </c:pt>
                <c:pt idx="1">
                  <c:v>7.3258347146578258</c:v>
                </c:pt>
                <c:pt idx="2">
                  <c:v>7.2472490455872443</c:v>
                </c:pt>
                <c:pt idx="3">
                  <c:v>6.7478342308592838</c:v>
                </c:pt>
                <c:pt idx="4">
                  <c:v>5.4668946982653308</c:v>
                </c:pt>
                <c:pt idx="5">
                  <c:v>6.1121495327102799</c:v>
                </c:pt>
                <c:pt idx="6">
                  <c:v>6.5442629179331311</c:v>
                </c:pt>
                <c:pt idx="7">
                  <c:v>6.7305084745762711</c:v>
                </c:pt>
                <c:pt idx="8">
                  <c:v>6.7638081395348841</c:v>
                </c:pt>
                <c:pt idx="12">
                  <c:v>6.6918823269188232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F4F-421D-95CA-15B5A24FC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F4F-421D-95CA-15B5A24FC6D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'!$C$97:$C$109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8.5498812351543947</c:v>
                      </c:pt>
                      <c:pt idx="1">
                        <c:v>7.4531813865147196</c:v>
                      </c:pt>
                      <c:pt idx="2">
                        <c:v>8.57847866419295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4.7885487528344672</c:v>
                      </c:pt>
                      <c:pt idx="8">
                        <c:v>4.0127551020408161</c:v>
                      </c:pt>
                      <c:pt idx="9">
                        <c:v>4.2004830917874392</c:v>
                      </c:pt>
                      <c:pt idx="10">
                        <c:v>7.1730038022813689</c:v>
                      </c:pt>
                      <c:pt idx="11">
                        <c:v>5.5751479289940828</c:v>
                      </c:pt>
                      <c:pt idx="12">
                        <c:v>7.0010211375472275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F4F-421D-95CA-15B5A24FC6D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'!$N$96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F4F-421D-95CA-15B5A24FC6D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F4F-421D-95CA-15B5A24FC6D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F4F-421D-95CA-15B5A24FC6D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F4F-421D-95CA-15B5A24FC6D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F4F-421D-95CA-15B5A24FC6D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F4F-421D-95CA-15B5A24FC6D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F4F-421D-95CA-15B5A24FC6D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F4F-421D-95CA-15B5A24FC6D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F4F-421D-95CA-15B5A24FC6D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F4F-421D-95CA-15B5A24FC6D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F4F-421D-95CA-15B5A24FC6D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F4F-421D-95CA-15B5A24FC6D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F4F-421D-95CA-15B5A24FC6DC}"/>
              </c:ext>
            </c:extLst>
          </c:dPt>
          <c:cat>
            <c:strRef>
              <c:f>'EM evol mensu TF cat 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'!$N$97:$N$109</c:f>
              <c:numCache>
                <c:formatCode>0.00</c:formatCode>
                <c:ptCount val="13"/>
                <c:pt idx="0">
                  <c:v>6.1453070576535929E-2</c:v>
                </c:pt>
                <c:pt idx="1">
                  <c:v>0.7467199518695935</c:v>
                </c:pt>
                <c:pt idx="2">
                  <c:v>1.282839657361003</c:v>
                </c:pt>
                <c:pt idx="3">
                  <c:v>0.39082589080009633</c:v>
                </c:pt>
                <c:pt idx="4">
                  <c:v>-5.7364415293546855E-2</c:v>
                </c:pt>
                <c:pt idx="5">
                  <c:v>0.53591634885377726</c:v>
                </c:pt>
                <c:pt idx="6">
                  <c:v>0.37954355939933926</c:v>
                </c:pt>
                <c:pt idx="7">
                  <c:v>0.19992615367136946</c:v>
                </c:pt>
                <c:pt idx="8">
                  <c:v>0.80785090939231807</c:v>
                </c:pt>
                <c:pt idx="12">
                  <c:v>0.4788117211167755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F4F-421D-95CA-15B5A24FC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879304380456516"/>
          <c:y val="0.17750569674669167"/>
          <c:w val="0.87120700483091784"/>
          <c:h val="0.42248339762898768"/>
        </c:manualLayout>
      </c:layout>
      <c:lineChart>
        <c:grouping val="standard"/>
        <c:varyColors val="0"/>
        <c:ser>
          <c:idx val="5"/>
          <c:order val="1"/>
          <c:tx>
            <c:strRef>
              <c:f>'tasa de ocupación evol mens'!$I$7:$J$7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B0E-4CF5-8E75-9055D2CFDD65}"/>
              </c:ext>
            </c:extLst>
          </c:dPt>
          <c:val>
            <c:numRef>
              <c:f>'tasa de ocupación evol mens'!$I$9:$I$21</c:f>
              <c:numCache>
                <c:formatCode>0.0%</c:formatCode>
                <c:ptCount val="13"/>
                <c:pt idx="0">
                  <c:v>0.82430000000000003</c:v>
                </c:pt>
                <c:pt idx="1">
                  <c:v>0.87060000000000004</c:v>
                </c:pt>
                <c:pt idx="2">
                  <c:v>0.73480000000000001</c:v>
                </c:pt>
                <c:pt idx="3">
                  <c:v>0.78159999999999996</c:v>
                </c:pt>
                <c:pt idx="4">
                  <c:v>0.73349999999999993</c:v>
                </c:pt>
                <c:pt idx="5">
                  <c:v>0.76780000000000004</c:v>
                </c:pt>
                <c:pt idx="6">
                  <c:v>0.83689999999999998</c:v>
                </c:pt>
                <c:pt idx="7">
                  <c:v>0.91459999999999997</c:v>
                </c:pt>
                <c:pt idx="8">
                  <c:v>0.78359999999999996</c:v>
                </c:pt>
                <c:pt idx="9">
                  <c:v>0.85840000000000005</c:v>
                </c:pt>
                <c:pt idx="10">
                  <c:v>0.85420000000000007</c:v>
                </c:pt>
                <c:pt idx="11">
                  <c:v>0.79709999999999992</c:v>
                </c:pt>
                <c:pt idx="12">
                  <c:v>0.81331329152256404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0E-4CF5-8E75-9055D2CFDD65}"/>
            </c:ext>
          </c:extLst>
        </c:ser>
        <c:ser>
          <c:idx val="0"/>
          <c:order val="2"/>
          <c:tx>
            <c:strRef>
              <c:f>'tasa de ocupación evol mens'!$K$7:$L$7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B0E-4CF5-8E75-9055D2CFDD65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mens'!$K$9:$K$21</c:f>
              <c:numCache>
                <c:formatCode>0.0%</c:formatCode>
                <c:ptCount val="13"/>
                <c:pt idx="0">
                  <c:v>0.872</c:v>
                </c:pt>
                <c:pt idx="1">
                  <c:v>0.89639999999999997</c:v>
                </c:pt>
                <c:pt idx="2">
                  <c:v>0.88939999999999997</c:v>
                </c:pt>
                <c:pt idx="3">
                  <c:v>0.80359999999999998</c:v>
                </c:pt>
                <c:pt idx="4">
                  <c:v>0.80420000000000003</c:v>
                </c:pt>
                <c:pt idx="5">
                  <c:v>0.81640000000000001</c:v>
                </c:pt>
                <c:pt idx="6">
                  <c:v>0.87379999999999991</c:v>
                </c:pt>
                <c:pt idx="7">
                  <c:v>0.90269999999999995</c:v>
                </c:pt>
                <c:pt idx="8">
                  <c:v>0.75800000000000001</c:v>
                </c:pt>
                <c:pt idx="9">
                  <c:v>0.89359999999999995</c:v>
                </c:pt>
                <c:pt idx="10">
                  <c:v>0.83440000000000003</c:v>
                </c:pt>
                <c:pt idx="11">
                  <c:v>0.79709999999999992</c:v>
                </c:pt>
                <c:pt idx="12">
                  <c:v>0.84524916570756325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B0E-4CF5-8E75-9055D2CFDD65}"/>
            </c:ext>
          </c:extLst>
        </c:ser>
        <c:ser>
          <c:idx val="1"/>
          <c:order val="3"/>
          <c:tx>
            <c:strRef>
              <c:f>'tasa de ocupación evol mens'!$M$7:$N$7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58B6C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B0E-4CF5-8E75-9055D2CFDD6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B0E-4CF5-8E75-9055D2CFDD65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mens'!$M$9:$M$21</c:f>
              <c:numCache>
                <c:formatCode>0.0%</c:formatCode>
                <c:ptCount val="13"/>
                <c:pt idx="0">
                  <c:v>0.84379999999999999</c:v>
                </c:pt>
                <c:pt idx="1">
                  <c:v>0.9244</c:v>
                </c:pt>
                <c:pt idx="2">
                  <c:v>0.82620000000000005</c:v>
                </c:pt>
                <c:pt idx="3">
                  <c:v>0.8216</c:v>
                </c:pt>
                <c:pt idx="4">
                  <c:v>0.71109999999999995</c:v>
                </c:pt>
                <c:pt idx="5">
                  <c:v>0.80099999999999993</c:v>
                </c:pt>
                <c:pt idx="6">
                  <c:v>0.93040000000000012</c:v>
                </c:pt>
                <c:pt idx="7">
                  <c:v>0.93909999999999993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B0E-4CF5-8E75-9055D2CFD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'tasa de ocupación evol mens'!$C$7:$D$7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0B0E-4CF5-8E75-9055D2CFDD6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'tasa de ocupación evol mens'!$A$9:$A$21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'tasa de ocupación evol mens'!$C$9:$C$21</c15:sqref>
                        </c15:formulaRef>
                      </c:ext>
                    </c:extLst>
                    <c:numCache>
                      <c:formatCode>0.0%</c:formatCode>
                      <c:ptCount val="13"/>
                      <c:pt idx="0">
                        <c:v>0.7387999999999999</c:v>
                      </c:pt>
                      <c:pt idx="1">
                        <c:v>0.82779999999999998</c:v>
                      </c:pt>
                      <c:pt idx="2">
                        <c:v>0.36729999999999996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0.43909999999999999</c:v>
                      </c:pt>
                      <c:pt idx="8">
                        <c:v>0.20370000000000002</c:v>
                      </c:pt>
                      <c:pt idx="9">
                        <c:v>0.20949999999999999</c:v>
                      </c:pt>
                      <c:pt idx="10">
                        <c:v>0.27260000000000001</c:v>
                      </c:pt>
                      <c:pt idx="11">
                        <c:v>0.2797</c:v>
                      </c:pt>
                      <c:pt idx="12">
                        <c:v>0.49125694136118242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0B0E-4CF5-8E75-9055D2CFDD6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'tasa de ocupación evol mens'!$N$8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B0E-4CF5-8E75-9055D2CFDD6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B0E-4CF5-8E75-9055D2CFDD6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B0E-4CF5-8E75-9055D2CFDD6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B0E-4CF5-8E75-9055D2CFDD6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B0E-4CF5-8E75-9055D2CFDD6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B0E-4CF5-8E75-9055D2CFDD6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B0E-4CF5-8E75-9055D2CFDD6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B0E-4CF5-8E75-9055D2CFDD6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B0E-4CF5-8E75-9055D2CFDD6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B0E-4CF5-8E75-9055D2CFDD6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B0E-4CF5-8E75-9055D2CFDD6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0B0E-4CF5-8E75-9055D2CFDD6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0B0E-4CF5-8E75-9055D2CFDD65}"/>
              </c:ext>
            </c:extLst>
          </c:dPt>
          <c:cat>
            <c:strRef>
              <c:f>'tasa de ocupación evol mens'!$B$9:$B$20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mens'!$N$9:$N$21</c:f>
              <c:numCache>
                <c:formatCode>0.0%</c:formatCode>
                <c:ptCount val="13"/>
                <c:pt idx="0">
                  <c:v>-3.2339449541284426E-2</c:v>
                </c:pt>
                <c:pt idx="1">
                  <c:v>3.1236055332440893E-2</c:v>
                </c:pt>
                <c:pt idx="2">
                  <c:v>-7.1059140993928405E-2</c:v>
                </c:pt>
                <c:pt idx="3">
                  <c:v>2.2399203583872485E-2</c:v>
                </c:pt>
                <c:pt idx="4">
                  <c:v>-0.11576722208405876</c:v>
                </c:pt>
                <c:pt idx="5">
                  <c:v>-1.8863302302792873E-2</c:v>
                </c:pt>
                <c:pt idx="6">
                  <c:v>6.4774547951476524E-2</c:v>
                </c:pt>
                <c:pt idx="7">
                  <c:v>4.0323474022377237E-2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B0E-4CF5-8E75-9055D2CFD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546570048309177"/>
          <c:y val="0.19562368325463131"/>
          <c:w val="0.87427463768115943"/>
          <c:h val="0.42248339762898768"/>
        </c:manualLayout>
      </c:layout>
      <c:lineChart>
        <c:grouping val="standard"/>
        <c:varyColors val="0"/>
        <c:ser>
          <c:idx val="3"/>
          <c:order val="0"/>
          <c:tx>
            <c:strRef>
              <c:f>'tasa de ocupación evol mens'!$I$95:$J$95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6DF-4C66-8CF9-D27F6EE2D52F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mens'!$I$97:$I$109</c:f>
              <c:numCache>
                <c:formatCode>0.0%</c:formatCode>
                <c:ptCount val="13"/>
                <c:pt idx="0">
                  <c:v>0.5706</c:v>
                </c:pt>
                <c:pt idx="1">
                  <c:v>0.60880000000000001</c:v>
                </c:pt>
                <c:pt idx="2">
                  <c:v>0.56409999999999993</c:v>
                </c:pt>
                <c:pt idx="3">
                  <c:v>0.49159999999999998</c:v>
                </c:pt>
                <c:pt idx="4">
                  <c:v>0.35649999999999998</c:v>
                </c:pt>
                <c:pt idx="5">
                  <c:v>0.38009999999999999</c:v>
                </c:pt>
                <c:pt idx="6">
                  <c:v>0.51519999999999999</c:v>
                </c:pt>
                <c:pt idx="7">
                  <c:v>0.61020000000000008</c:v>
                </c:pt>
                <c:pt idx="8">
                  <c:v>0.48009999999999997</c:v>
                </c:pt>
                <c:pt idx="9">
                  <c:v>0.53380000000000005</c:v>
                </c:pt>
                <c:pt idx="10">
                  <c:v>0.57950000000000002</c:v>
                </c:pt>
                <c:pt idx="11">
                  <c:v>0.58860000000000001</c:v>
                </c:pt>
                <c:pt idx="12">
                  <c:v>0.52325833333333349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DF-4C66-8CF9-D27F6EE2D52F}"/>
            </c:ext>
          </c:extLst>
        </c:ser>
        <c:ser>
          <c:idx val="0"/>
          <c:order val="1"/>
          <c:tx>
            <c:strRef>
              <c:f>'tasa de ocupación evol mens'!$K$95:$L$95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6DF-4C66-8CF9-D27F6EE2D52F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mens'!$K$97:$K$109</c:f>
              <c:numCache>
                <c:formatCode>0.0%</c:formatCode>
                <c:ptCount val="13"/>
                <c:pt idx="0">
                  <c:v>0.60470000000000002</c:v>
                </c:pt>
                <c:pt idx="1">
                  <c:v>0.53410000000000002</c:v>
                </c:pt>
                <c:pt idx="2">
                  <c:v>0.60250000000000004</c:v>
                </c:pt>
                <c:pt idx="3">
                  <c:v>0.47450000000000003</c:v>
                </c:pt>
                <c:pt idx="4">
                  <c:v>0.4093</c:v>
                </c:pt>
                <c:pt idx="5">
                  <c:v>0.39950000000000002</c:v>
                </c:pt>
                <c:pt idx="6">
                  <c:v>0.52290000000000003</c:v>
                </c:pt>
                <c:pt idx="7">
                  <c:v>0.60580000000000001</c:v>
                </c:pt>
                <c:pt idx="8">
                  <c:v>0.4698</c:v>
                </c:pt>
                <c:pt idx="9">
                  <c:v>0.54510000000000003</c:v>
                </c:pt>
                <c:pt idx="10">
                  <c:v>0.59079999999999999</c:v>
                </c:pt>
                <c:pt idx="11">
                  <c:v>0.56399999999999995</c:v>
                </c:pt>
                <c:pt idx="12">
                  <c:v>0.5269166666666667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6DF-4C66-8CF9-D27F6EE2D52F}"/>
            </c:ext>
          </c:extLst>
        </c:ser>
        <c:ser>
          <c:idx val="1"/>
          <c:order val="2"/>
          <c:tx>
            <c:strRef>
              <c:f>'tasa de ocupación evol mens'!$M$95:$N$95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6DF-4C66-8CF9-D27F6EE2D52F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mens'!$M$97:$M$109</c:f>
              <c:numCache>
                <c:formatCode>0.0%</c:formatCode>
                <c:ptCount val="13"/>
                <c:pt idx="0">
                  <c:v>0.58520000000000005</c:v>
                </c:pt>
                <c:pt idx="1">
                  <c:v>0.63429999999999997</c:v>
                </c:pt>
                <c:pt idx="2">
                  <c:v>0.59760000000000002</c:v>
                </c:pt>
                <c:pt idx="3">
                  <c:v>0.55149999999999999</c:v>
                </c:pt>
                <c:pt idx="4">
                  <c:v>0.41439999999999999</c:v>
                </c:pt>
                <c:pt idx="5">
                  <c:v>0.46299999999999997</c:v>
                </c:pt>
                <c:pt idx="6">
                  <c:v>0.63790000000000002</c:v>
                </c:pt>
                <c:pt idx="7">
                  <c:v>0.73530000000000006</c:v>
                </c:pt>
                <c:pt idx="8">
                  <c:v>0.5343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6DF-4C66-8CF9-D27F6EE2D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3"/>
          <c:tx>
            <c:strRef>
              <c:f>'tasa de ocupación evol mens'!$N$96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A6DF-4C66-8CF9-D27F6EE2D52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A6DF-4C66-8CF9-D27F6EE2D52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6DF-4C66-8CF9-D27F6EE2D52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6DF-4C66-8CF9-D27F6EE2D52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6DF-4C66-8CF9-D27F6EE2D52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6DF-4C66-8CF9-D27F6EE2D52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6DF-4C66-8CF9-D27F6EE2D52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6DF-4C66-8CF9-D27F6EE2D52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6DF-4C66-8CF9-D27F6EE2D52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6DF-4C66-8CF9-D27F6EE2D52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6DF-4C66-8CF9-D27F6EE2D52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6DF-4C66-8CF9-D27F6EE2D52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6DF-4C66-8CF9-D27F6EE2D52F}"/>
              </c:ext>
            </c:extLst>
          </c:dPt>
          <c:cat>
            <c:strRef>
              <c:f>'tasa de ocupación evol mens'!$B$97:$B$108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mens'!$N$97:$N$109</c:f>
              <c:numCache>
                <c:formatCode>0.0%</c:formatCode>
                <c:ptCount val="13"/>
                <c:pt idx="0">
                  <c:v>-3.2247395402678958E-2</c:v>
                </c:pt>
                <c:pt idx="1">
                  <c:v>0.18760531735630015</c:v>
                </c:pt>
                <c:pt idx="2">
                  <c:v>-8.1327800829875674E-3</c:v>
                </c:pt>
                <c:pt idx="3">
                  <c:v>0.16227608008429906</c:v>
                </c:pt>
                <c:pt idx="4">
                  <c:v>1.2460298069875364E-2</c:v>
                </c:pt>
                <c:pt idx="5">
                  <c:v>0.15894868585732147</c:v>
                </c:pt>
                <c:pt idx="6">
                  <c:v>0.21992732836106321</c:v>
                </c:pt>
                <c:pt idx="7">
                  <c:v>0.21376691977550366</c:v>
                </c:pt>
                <c:pt idx="8">
                  <c:v>0.13729246487867175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A6DF-4C66-8CF9-D27F6EE2D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739082125603864"/>
          <c:y val="0.15564305555555558"/>
          <c:w val="0.8970059178743961"/>
          <c:h val="0.42248339762898768"/>
        </c:manualLayout>
      </c:layout>
      <c:lineChart>
        <c:grouping val="standard"/>
        <c:varyColors val="0"/>
        <c:ser>
          <c:idx val="3"/>
          <c:order val="0"/>
          <c:tx>
            <c:strRef>
              <c:f>'tasa de ocupación evol mens'!$I$73:$J$73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53B-467C-ACCE-3EDBF075CF1D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mens'!$I$75:$I$87</c:f>
              <c:numCache>
                <c:formatCode>0.0%</c:formatCode>
                <c:ptCount val="13"/>
                <c:pt idx="0">
                  <c:v>0.65390000000000004</c:v>
                </c:pt>
                <c:pt idx="1">
                  <c:v>0.62309999999999999</c:v>
                </c:pt>
                <c:pt idx="2">
                  <c:v>0.61819999999999997</c:v>
                </c:pt>
                <c:pt idx="3">
                  <c:v>0.6762999999999999</c:v>
                </c:pt>
                <c:pt idx="4">
                  <c:v>0.8075</c:v>
                </c:pt>
                <c:pt idx="5">
                  <c:v>0.77829999999999999</c:v>
                </c:pt>
                <c:pt idx="6">
                  <c:v>0.87879999999999991</c:v>
                </c:pt>
                <c:pt idx="7">
                  <c:v>0.90639999999999998</c:v>
                </c:pt>
                <c:pt idx="8">
                  <c:v>0.88049999999999995</c:v>
                </c:pt>
                <c:pt idx="9">
                  <c:v>0.81169999999999998</c:v>
                </c:pt>
                <c:pt idx="10">
                  <c:v>0.77670000000000006</c:v>
                </c:pt>
                <c:pt idx="11">
                  <c:v>0.7591</c:v>
                </c:pt>
                <c:pt idx="12">
                  <c:v>0.76420833333333338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3B-467C-ACCE-3EDBF075CF1D}"/>
            </c:ext>
          </c:extLst>
        </c:ser>
        <c:ser>
          <c:idx val="0"/>
          <c:order val="1"/>
          <c:tx>
            <c:strRef>
              <c:f>'tasa de ocupación evol mens'!$K$73:$L$73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53B-467C-ACCE-3EDBF075CF1D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mens'!$K$75:$K$87</c:f>
              <c:numCache>
                <c:formatCode>0.0%</c:formatCode>
                <c:ptCount val="13"/>
                <c:pt idx="0">
                  <c:v>0.86799999999999999</c:v>
                </c:pt>
                <c:pt idx="1">
                  <c:v>0.94669999999999999</c:v>
                </c:pt>
                <c:pt idx="2">
                  <c:v>0.88969999999999994</c:v>
                </c:pt>
                <c:pt idx="3">
                  <c:v>0.754</c:v>
                </c:pt>
                <c:pt idx="4">
                  <c:v>0.93720000000000003</c:v>
                </c:pt>
                <c:pt idx="5">
                  <c:v>0.98010000000000008</c:v>
                </c:pt>
                <c:pt idx="6">
                  <c:v>0.95640000000000003</c:v>
                </c:pt>
                <c:pt idx="7">
                  <c:v>0.94879999999999998</c:v>
                </c:pt>
                <c:pt idx="8">
                  <c:v>0.80590000000000006</c:v>
                </c:pt>
                <c:pt idx="9">
                  <c:v>0.80370000000000008</c:v>
                </c:pt>
                <c:pt idx="10">
                  <c:v>0.82819999999999994</c:v>
                </c:pt>
                <c:pt idx="11">
                  <c:v>0.76069999999999993</c:v>
                </c:pt>
                <c:pt idx="12">
                  <c:v>0.8732833333333333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53B-467C-ACCE-3EDBF075CF1D}"/>
            </c:ext>
          </c:extLst>
        </c:ser>
        <c:ser>
          <c:idx val="1"/>
          <c:order val="2"/>
          <c:tx>
            <c:strRef>
              <c:f>'tasa de ocupación evol mens'!$M$73:$N$73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53B-467C-ACCE-3EDBF075CF1D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mens'!$M$75:$M$87</c:f>
              <c:numCache>
                <c:formatCode>0.0%</c:formatCode>
                <c:ptCount val="13"/>
                <c:pt idx="0">
                  <c:v>0.87609999999999999</c:v>
                </c:pt>
                <c:pt idx="1">
                  <c:v>0.86909999999999998</c:v>
                </c:pt>
                <c:pt idx="2">
                  <c:v>0.73329999999999995</c:v>
                </c:pt>
                <c:pt idx="3">
                  <c:v>0.75950000000000006</c:v>
                </c:pt>
                <c:pt idx="4">
                  <c:v>0.8015000000000001</c:v>
                </c:pt>
                <c:pt idx="5">
                  <c:v>0.80689999999999995</c:v>
                </c:pt>
                <c:pt idx="6">
                  <c:v>0.90670000000000006</c:v>
                </c:pt>
                <c:pt idx="7">
                  <c:v>0.92090000000000005</c:v>
                </c:pt>
                <c:pt idx="8">
                  <c:v>0.85510000000000008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53B-467C-ACCE-3EDBF075C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3"/>
          <c:tx>
            <c:strRef>
              <c:f>'tasa de ocupación evol mens'!$N$74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E53B-467C-ACCE-3EDBF075CF1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E53B-467C-ACCE-3EDBF075CF1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53B-467C-ACCE-3EDBF075CF1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53B-467C-ACCE-3EDBF075CF1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53B-467C-ACCE-3EDBF075CF1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53B-467C-ACCE-3EDBF075CF1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53B-467C-ACCE-3EDBF075CF1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53B-467C-ACCE-3EDBF075CF1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53B-467C-ACCE-3EDBF075CF1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53B-467C-ACCE-3EDBF075CF1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53B-467C-ACCE-3EDBF075CF1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53B-467C-ACCE-3EDBF075CF1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53B-467C-ACCE-3EDBF075CF1D}"/>
              </c:ext>
            </c:extLst>
          </c:dPt>
          <c:cat>
            <c:strRef>
              <c:f>'tasa de ocupación evol mens'!$B$53:$B$64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mens'!$N$75:$N$87</c:f>
              <c:numCache>
                <c:formatCode>0.0%</c:formatCode>
                <c:ptCount val="13"/>
                <c:pt idx="0">
                  <c:v>9.3317972350230871E-3</c:v>
                </c:pt>
                <c:pt idx="1">
                  <c:v>-8.1968944755466344E-2</c:v>
                </c:pt>
                <c:pt idx="2">
                  <c:v>-0.17578959199730249</c:v>
                </c:pt>
                <c:pt idx="3">
                  <c:v>7.2944297082229159E-3</c:v>
                </c:pt>
                <c:pt idx="4">
                  <c:v>-0.14479300042680321</c:v>
                </c:pt>
                <c:pt idx="5">
                  <c:v>-0.17671666156514654</c:v>
                </c:pt>
                <c:pt idx="6">
                  <c:v>-5.1965704726055995E-2</c:v>
                </c:pt>
                <c:pt idx="7">
                  <c:v>-2.9405564924114613E-2</c:v>
                </c:pt>
                <c:pt idx="8">
                  <c:v>6.1049758034495527E-2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E53B-467C-ACCE-3EDBF075C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879304380456516"/>
          <c:y val="0.13474552527311315"/>
          <c:w val="0.87120700483091784"/>
          <c:h val="0.42248339762898768"/>
        </c:manualLayout>
      </c:layout>
      <c:lineChart>
        <c:grouping val="standard"/>
        <c:varyColors val="0"/>
        <c:ser>
          <c:idx val="5"/>
          <c:order val="1"/>
          <c:tx>
            <c:strRef>
              <c:f>'tasa de ocupación evol mens'!$I$29:$J$29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87E-4D8E-AD8A-5DC29A141B2C}"/>
              </c:ext>
            </c:extLst>
          </c:dPt>
          <c:val>
            <c:numRef>
              <c:f>'tasa de ocupación evol mens'!$I$31:$I$43</c:f>
              <c:numCache>
                <c:formatCode>0.0%</c:formatCode>
                <c:ptCount val="13"/>
                <c:pt idx="0">
                  <c:v>0.91280000000000006</c:v>
                </c:pt>
                <c:pt idx="1">
                  <c:v>0.96200000000000008</c:v>
                </c:pt>
                <c:pt idx="2">
                  <c:v>0.7944</c:v>
                </c:pt>
                <c:pt idx="3">
                  <c:v>0.88819999999999988</c:v>
                </c:pt>
                <c:pt idx="4">
                  <c:v>0.872</c:v>
                </c:pt>
                <c:pt idx="5">
                  <c:v>0.9104000000000001</c:v>
                </c:pt>
                <c:pt idx="6">
                  <c:v>0.94920000000000004</c:v>
                </c:pt>
                <c:pt idx="7">
                  <c:v>1.0207999999999999</c:v>
                </c:pt>
                <c:pt idx="8">
                  <c:v>0.88959999999999995</c:v>
                </c:pt>
                <c:pt idx="9">
                  <c:v>0.97180000000000011</c:v>
                </c:pt>
                <c:pt idx="10">
                  <c:v>0.95010000000000006</c:v>
                </c:pt>
                <c:pt idx="11">
                  <c:v>0.87</c:v>
                </c:pt>
                <c:pt idx="12">
                  <c:v>0.9159504223366709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7E-4D8E-AD8A-5DC29A141B2C}"/>
            </c:ext>
          </c:extLst>
        </c:ser>
        <c:ser>
          <c:idx val="0"/>
          <c:order val="2"/>
          <c:tx>
            <c:strRef>
              <c:f>'tasa de ocupación evol mens'!$K$29:$L$29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87E-4D8E-AD8A-5DC29A141B2C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mens'!$K$31:$K$43</c:f>
              <c:numCache>
                <c:formatCode>0.0%</c:formatCode>
                <c:ptCount val="13"/>
                <c:pt idx="0">
                  <c:v>0.96530000000000005</c:v>
                </c:pt>
                <c:pt idx="1">
                  <c:v>1.0661</c:v>
                </c:pt>
                <c:pt idx="2">
                  <c:v>0.98959999999999992</c:v>
                </c:pt>
                <c:pt idx="3">
                  <c:v>0.91859999999999997</c:v>
                </c:pt>
                <c:pt idx="4">
                  <c:v>0.94200000000000006</c:v>
                </c:pt>
                <c:pt idx="5">
                  <c:v>0.96189999999999998</c:v>
                </c:pt>
                <c:pt idx="6">
                  <c:v>0.99629999999999996</c:v>
                </c:pt>
                <c:pt idx="7">
                  <c:v>1.0063</c:v>
                </c:pt>
                <c:pt idx="8">
                  <c:v>0.85860000000000003</c:v>
                </c:pt>
                <c:pt idx="9">
                  <c:v>1.0153000000000001</c:v>
                </c:pt>
                <c:pt idx="10">
                  <c:v>0.92370000000000008</c:v>
                </c:pt>
                <c:pt idx="11">
                  <c:v>0.88249999999999995</c:v>
                </c:pt>
                <c:pt idx="12">
                  <c:v>0.95750805881643142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87E-4D8E-AD8A-5DC29A141B2C}"/>
            </c:ext>
          </c:extLst>
        </c:ser>
        <c:ser>
          <c:idx val="1"/>
          <c:order val="3"/>
          <c:tx>
            <c:strRef>
              <c:f>'tasa de ocupación evol mens'!$M$29:$N$29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58B6C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87E-4D8E-AD8A-5DC29A141B2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87E-4D8E-AD8A-5DC29A141B2C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mens'!$M$31:$M$43</c:f>
              <c:numCache>
                <c:formatCode>0.0%</c:formatCode>
                <c:ptCount val="13"/>
                <c:pt idx="0">
                  <c:v>0.93849999999999989</c:v>
                </c:pt>
                <c:pt idx="1">
                  <c:v>1.0306999999999999</c:v>
                </c:pt>
                <c:pt idx="2">
                  <c:v>0.90989999999999993</c:v>
                </c:pt>
                <c:pt idx="3">
                  <c:v>0.92059999999999997</c:v>
                </c:pt>
                <c:pt idx="4">
                  <c:v>0.81980000000000008</c:v>
                </c:pt>
                <c:pt idx="5">
                  <c:v>0.92480000000000007</c:v>
                </c:pt>
                <c:pt idx="6">
                  <c:v>1.0375000000000001</c:v>
                </c:pt>
                <c:pt idx="7">
                  <c:v>1.0137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87E-4D8E-AD8A-5DC29A141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'tasa de ocupación evol mens'!$C$29:$D$29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87E-4D8E-AD8A-5DC29A141B2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'tasa de ocupación evol mens'!$A$9:$A$21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'tasa de ocupación evol mens'!$C$31:$C$43</c15:sqref>
                        </c15:formulaRef>
                      </c:ext>
                    </c:extLst>
                    <c:numCache>
                      <c:formatCode>0.0%</c:formatCode>
                      <c:ptCount val="13"/>
                      <c:pt idx="0">
                        <c:v>0.8327</c:v>
                      </c:pt>
                      <c:pt idx="1">
                        <c:v>0.9698</c:v>
                      </c:pt>
                      <c:pt idx="2">
                        <c:v>0.39979999999999999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0.52979999999999994</c:v>
                      </c:pt>
                      <c:pt idx="8">
                        <c:v>0.25850000000000001</c:v>
                      </c:pt>
                      <c:pt idx="9">
                        <c:v>0.28689999999999999</c:v>
                      </c:pt>
                      <c:pt idx="10">
                        <c:v>0.38200000000000001</c:v>
                      </c:pt>
                      <c:pt idx="11">
                        <c:v>0.39159999999999995</c:v>
                      </c:pt>
                      <c:pt idx="12">
                        <c:v>0.58674350442618195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87E-4D8E-AD8A-5DC29A141B2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'tasa de ocupación evol mens'!$N$30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87E-4D8E-AD8A-5DC29A141B2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87E-4D8E-AD8A-5DC29A141B2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87E-4D8E-AD8A-5DC29A141B2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87E-4D8E-AD8A-5DC29A141B2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87E-4D8E-AD8A-5DC29A141B2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87E-4D8E-AD8A-5DC29A141B2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87E-4D8E-AD8A-5DC29A141B2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87E-4D8E-AD8A-5DC29A141B2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87E-4D8E-AD8A-5DC29A141B2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87E-4D8E-AD8A-5DC29A141B2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87E-4D8E-AD8A-5DC29A141B2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87E-4D8E-AD8A-5DC29A141B2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87E-4D8E-AD8A-5DC29A141B2C}"/>
              </c:ext>
            </c:extLst>
          </c:dPt>
          <c:cat>
            <c:strRef>
              <c:f>'tasa de ocupación evol mens'!$B$31:$B$42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mens'!$N$31:$N$43</c:f>
              <c:numCache>
                <c:formatCode>0.0%</c:formatCode>
                <c:ptCount val="13"/>
                <c:pt idx="0">
                  <c:v>-2.776338961980751E-2</c:v>
                </c:pt>
                <c:pt idx="1">
                  <c:v>-3.3205140230747721E-2</c:v>
                </c:pt>
                <c:pt idx="2">
                  <c:v>-8.0537590945836679E-2</c:v>
                </c:pt>
                <c:pt idx="3">
                  <c:v>2.1772262138035625E-3</c:v>
                </c:pt>
                <c:pt idx="4">
                  <c:v>-0.12972399150743097</c:v>
                </c:pt>
                <c:pt idx="5">
                  <c:v>-3.8569497868801261E-2</c:v>
                </c:pt>
                <c:pt idx="6">
                  <c:v>4.1353006122653913E-2</c:v>
                </c:pt>
                <c:pt idx="7">
                  <c:v>7.3536718672364554E-3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87E-4D8E-AD8A-5DC29A141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879304380456516"/>
          <c:y val="0.15001701508510548"/>
          <c:w val="0.87120700483091784"/>
          <c:h val="0.42248339762898768"/>
        </c:manualLayout>
      </c:layout>
      <c:lineChart>
        <c:grouping val="standard"/>
        <c:varyColors val="0"/>
        <c:ser>
          <c:idx val="5"/>
          <c:order val="1"/>
          <c:tx>
            <c:strRef>
              <c:f>'tasa de ocupación evol mens'!$I$51:$J$51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1CE-4AC6-A8BF-D69B4F3AF6BE}"/>
              </c:ext>
            </c:extLst>
          </c:dPt>
          <c:val>
            <c:numRef>
              <c:f>'tasa de ocupación evol mens'!$I$53:$I$65</c:f>
              <c:numCache>
                <c:formatCode>0.0%</c:formatCode>
                <c:ptCount val="13"/>
                <c:pt idx="0">
                  <c:v>0.98719999999999997</c:v>
                </c:pt>
                <c:pt idx="1">
                  <c:v>1.0593000000000001</c:v>
                </c:pt>
                <c:pt idx="2">
                  <c:v>0.84499999999999997</c:v>
                </c:pt>
                <c:pt idx="3">
                  <c:v>0.95319999999999994</c:v>
                </c:pt>
                <c:pt idx="4">
                  <c:v>0.89180000000000004</c:v>
                </c:pt>
                <c:pt idx="5">
                  <c:v>0.95090000000000008</c:v>
                </c:pt>
                <c:pt idx="6">
                  <c:v>0.96950000000000003</c:v>
                </c:pt>
                <c:pt idx="7">
                  <c:v>1.0537000000000001</c:v>
                </c:pt>
                <c:pt idx="8">
                  <c:v>0.89219999999999999</c:v>
                </c:pt>
                <c:pt idx="9">
                  <c:v>1.0177</c:v>
                </c:pt>
                <c:pt idx="10">
                  <c:v>0.9998999999999999</c:v>
                </c:pt>
                <c:pt idx="11">
                  <c:v>0.90180000000000005</c:v>
                </c:pt>
                <c:pt idx="12">
                  <c:v>0.95995106478564085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CE-4AC6-A8BF-D69B4F3AF6BE}"/>
            </c:ext>
          </c:extLst>
        </c:ser>
        <c:ser>
          <c:idx val="0"/>
          <c:order val="2"/>
          <c:tx>
            <c:strRef>
              <c:f>'tasa de ocupación evol mens'!$K$51:$L$51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1CE-4AC6-A8BF-D69B4F3AF6BE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mens'!$K$53:$K$65</c:f>
              <c:numCache>
                <c:formatCode>0.0%</c:formatCode>
                <c:ptCount val="13"/>
                <c:pt idx="0">
                  <c:v>0.99319999999999997</c:v>
                </c:pt>
                <c:pt idx="1">
                  <c:v>1.1003000000000001</c:v>
                </c:pt>
                <c:pt idx="2">
                  <c:v>1.0183</c:v>
                </c:pt>
                <c:pt idx="3">
                  <c:v>0.96579999999999999</c:v>
                </c:pt>
                <c:pt idx="4">
                  <c:v>0.94340000000000002</c:v>
                </c:pt>
                <c:pt idx="5">
                  <c:v>0.95669999999999999</c:v>
                </c:pt>
                <c:pt idx="6">
                  <c:v>1.0078</c:v>
                </c:pt>
                <c:pt idx="7">
                  <c:v>1.0227999999999999</c:v>
                </c:pt>
                <c:pt idx="8">
                  <c:v>0.87370000000000003</c:v>
                </c:pt>
                <c:pt idx="9">
                  <c:v>1.0761000000000001</c:v>
                </c:pt>
                <c:pt idx="10">
                  <c:v>0.95109999999999995</c:v>
                </c:pt>
                <c:pt idx="11">
                  <c:v>0.91739999999999999</c:v>
                </c:pt>
                <c:pt idx="12">
                  <c:v>0.9824608507075423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1CE-4AC6-A8BF-D69B4F3AF6BE}"/>
            </c:ext>
          </c:extLst>
        </c:ser>
        <c:ser>
          <c:idx val="1"/>
          <c:order val="3"/>
          <c:tx>
            <c:strRef>
              <c:f>'tasa de ocupación evol mens'!$M$51:$N$51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58B6C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1CE-4AC6-A8BF-D69B4F3AF6B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1CE-4AC6-A8BF-D69B4F3AF6BE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mens'!$M$53:$M$65</c:f>
              <c:numCache>
                <c:formatCode>0.0%</c:formatCode>
                <c:ptCount val="13"/>
                <c:pt idx="0">
                  <c:v>0.95640000000000003</c:v>
                </c:pt>
                <c:pt idx="1">
                  <c:v>1.0770999999999999</c:v>
                </c:pt>
                <c:pt idx="2">
                  <c:v>0.96069999999999989</c:v>
                </c:pt>
                <c:pt idx="3">
                  <c:v>0.96689999999999998</c:v>
                </c:pt>
                <c:pt idx="4">
                  <c:v>0.82499999999999996</c:v>
                </c:pt>
                <c:pt idx="5">
                  <c:v>0.9587</c:v>
                </c:pt>
                <c:pt idx="6">
                  <c:v>1.0750999999999999</c:v>
                </c:pt>
                <c:pt idx="7">
                  <c:v>1.0403</c:v>
                </c:pt>
                <c:pt idx="8">
                  <c:v>0.98439999999999994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1CE-4AC6-A8BF-D69B4F3AF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'tasa de ocupación evol mens'!$C$51:$D$51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1CE-4AC6-A8BF-D69B4F3AF6B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'tasa de ocupación evol mens'!$A$9:$A$21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'tasa de ocupación evol mens'!$C$53:$C$65</c15:sqref>
                        </c15:formulaRef>
                      </c:ext>
                    </c:extLst>
                    <c:numCache>
                      <c:formatCode>0.0%</c:formatCode>
                      <c:ptCount val="13"/>
                      <c:pt idx="0">
                        <c:v>0.84459999999999991</c:v>
                      </c:pt>
                      <c:pt idx="1">
                        <c:v>1.0042</c:v>
                      </c:pt>
                      <c:pt idx="2">
                        <c:v>0.40310000000000001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0.61080000000000001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1CE-4AC6-A8BF-D69B4F3AF6B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'tasa de ocupación evol mens'!$N$52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1CE-4AC6-A8BF-D69B4F3AF6B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1CE-4AC6-A8BF-D69B4F3AF6B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1CE-4AC6-A8BF-D69B4F3AF6B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1CE-4AC6-A8BF-D69B4F3AF6B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1CE-4AC6-A8BF-D69B4F3AF6B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1CE-4AC6-A8BF-D69B4F3AF6B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1CE-4AC6-A8BF-D69B4F3AF6B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1CE-4AC6-A8BF-D69B4F3AF6B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1CE-4AC6-A8BF-D69B4F3AF6B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1CE-4AC6-A8BF-D69B4F3AF6B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1CE-4AC6-A8BF-D69B4F3AF6B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1CE-4AC6-A8BF-D69B4F3AF6B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1CE-4AC6-A8BF-D69B4F3AF6BE}"/>
              </c:ext>
            </c:extLst>
          </c:dPt>
          <c:cat>
            <c:strRef>
              <c:f>'tasa de ocupación evol mens'!$B$53:$B$64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mens'!$N$53:$N$65</c:f>
              <c:numCache>
                <c:formatCode>0.0%</c:formatCode>
                <c:ptCount val="13"/>
                <c:pt idx="0">
                  <c:v>-3.7051953282319694E-2</c:v>
                </c:pt>
                <c:pt idx="1">
                  <c:v>-2.1085158593111109E-2</c:v>
                </c:pt>
                <c:pt idx="2">
                  <c:v>-5.6564863006972499E-2</c:v>
                </c:pt>
                <c:pt idx="3">
                  <c:v>1.138952164009055E-3</c:v>
                </c:pt>
                <c:pt idx="4">
                  <c:v>-0.12550349798600813</c:v>
                </c:pt>
                <c:pt idx="5">
                  <c:v>2.0905194940943339E-3</c:v>
                </c:pt>
                <c:pt idx="6">
                  <c:v>6.6779122841833516E-2</c:v>
                </c:pt>
                <c:pt idx="7">
                  <c:v>1.7109894407508763E-2</c:v>
                </c:pt>
                <c:pt idx="8">
                  <c:v>0.12670252947235872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1CE-4AC6-A8BF-D69B4F3AF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426500876382174E-3"/>
          <c:y val="0.5733020131929728"/>
          <c:w val="0.97760879170679205"/>
          <c:h val="0.2247541019961255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'distribución españoles x Resid'!$J$5</c:f>
              <c:strCache>
                <c:ptCount val="1"/>
                <c:pt idx="0">
                  <c:v>acumulado septiembre 2024</c:v>
                </c:pt>
              </c:strCache>
            </c:strRef>
          </c:tx>
          <c:spPr>
            <a:solidFill>
              <a:schemeClr val="accent6"/>
            </a:solidFill>
            <a:ln w="28575">
              <a:solidFill>
                <a:schemeClr val="bg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s-ES"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Resid'!$J$8,'distribución españoles x Resid'!$J$10:$J$11)</c:f>
              <c:numCache>
                <c:formatCode>#,##0</c:formatCode>
                <c:ptCount val="3"/>
                <c:pt idx="0">
                  <c:v>7991</c:v>
                </c:pt>
                <c:pt idx="1">
                  <c:v>11950</c:v>
                </c:pt>
                <c:pt idx="2">
                  <c:v>3055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75-4CDF-8575-CDC7AEB0459C}"/>
            </c:ext>
          </c:extLst>
        </c:ser>
        <c:ser>
          <c:idx val="0"/>
          <c:order val="1"/>
          <c:tx>
            <c:strRef>
              <c:f>'distribución españoles x Resid'!$N$5</c:f>
              <c:strCache>
                <c:ptCount val="1"/>
                <c:pt idx="0">
                  <c:v>acumulado septiembre 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>
              <a:solidFill>
                <a:schemeClr val="bg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200" b="0" i="0" u="none" strike="noStrike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Resid'!$N$8,'distribución españoles x Resid'!$N$10:$N$11)</c:f>
              <c:numCache>
                <c:formatCode>#,##0</c:formatCode>
                <c:ptCount val="3"/>
                <c:pt idx="0">
                  <c:v>10248</c:v>
                </c:pt>
                <c:pt idx="1">
                  <c:v>3551</c:v>
                </c:pt>
                <c:pt idx="2">
                  <c:v>12740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75-4CDF-8575-CDC7AEB04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-1992631632"/>
        <c:axId val="-1992649584"/>
      </c:barChart>
      <c:barChart>
        <c:barDir val="col"/>
        <c:grouping val="clustered"/>
        <c:varyColors val="0"/>
        <c:ser>
          <c:idx val="3"/>
          <c:order val="3"/>
          <c:tx>
            <c:v>cuota</c:v>
          </c:tx>
          <c:spPr>
            <a:noFill/>
            <a:ln w="12700">
              <a:solidFill>
                <a:srgbClr val="9BBB59">
                  <a:lumMod val="75000"/>
                </a:srgbClr>
              </a:solidFill>
            </a:ln>
          </c:spPr>
          <c:invertIfNegative val="0"/>
          <c:dPt>
            <c:idx val="0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3-9D75-4CDF-8575-CDC7AEB0459C}"/>
              </c:ext>
            </c:extLst>
          </c:dPt>
          <c:dPt>
            <c:idx val="1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5-9D75-4CDF-8575-CDC7AEB0459C}"/>
              </c:ext>
            </c:extLst>
          </c:dPt>
          <c:dPt>
            <c:idx val="2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7-9D75-4CDF-8575-CDC7AEB0459C}"/>
              </c:ext>
            </c:extLst>
          </c:dPt>
          <c:dLbls>
            <c:dLbl>
              <c:idx val="0"/>
              <c:layout>
                <c:manualLayout>
                  <c:x val="2.2408963585434184E-2"/>
                  <c:y val="7.3878627968337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75-4CDF-8575-CDC7AEB0459C}"/>
                </c:ext>
              </c:extLst>
            </c:dLbl>
            <c:dLbl>
              <c:idx val="1"/>
              <c:layout>
                <c:manualLayout>
                  <c:x val="3.3613445378151259E-2"/>
                  <c:y val="7.7396657871591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75-4CDF-8575-CDC7AEB0459C}"/>
                </c:ext>
              </c:extLst>
            </c:dLbl>
            <c:dLbl>
              <c:idx val="2"/>
              <c:layout>
                <c:manualLayout>
                  <c:x val="3.3613445378151259E-2"/>
                  <c:y val="7.7396657871591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D75-4CDF-8575-CDC7AEB0459C}"/>
                </c:ext>
              </c:extLst>
            </c:dLbl>
            <c:dLbl>
              <c:idx val="3"/>
              <c:layout>
                <c:manualLayout>
                  <c:x val="3.8095238095238099E-2"/>
                  <c:y val="7.3878627968337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D75-4CDF-8575-CDC7AEB0459C}"/>
                </c:ext>
              </c:extLst>
            </c:dLbl>
            <c:dLbl>
              <c:idx val="4"/>
              <c:layout>
                <c:manualLayout>
                  <c:x val="3.5854341736694599E-2"/>
                  <c:y val="8.09146877748460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D75-4CDF-8575-CDC7AEB0459C}"/>
                </c:ext>
              </c:extLst>
            </c:dLbl>
            <c:dLbl>
              <c:idx val="5"/>
              <c:layout>
                <c:manualLayout>
                  <c:x val="4.0336134453781515E-2"/>
                  <c:y val="7.3878627968337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D75-4CDF-8575-CDC7AEB0459C}"/>
                </c:ext>
              </c:extLst>
            </c:dLbl>
            <c:spPr>
              <a:noFill/>
              <a:ln>
                <a:solidFill>
                  <a:srgbClr val="9BBB59">
                    <a:lumMod val="75000"/>
                  </a:srgb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>
                    <a:solidFill>
                      <a:schemeClr val="bg1">
                        <a:lumMod val="65000"/>
                      </a:schemeClr>
                    </a:solidFill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('distribución españoles x Resid'!$S$8,'distribución españoles x Resid'!$S$10,'distribución españoles x Resid'!$S$11)</c:f>
              <c:numCache>
                <c:formatCode>0.0%</c:formatCode>
                <c:ptCount val="3"/>
                <c:pt idx="0">
                  <c:v>0.38614868683823805</c:v>
                </c:pt>
                <c:pt idx="1">
                  <c:v>0.13380308225630205</c:v>
                </c:pt>
                <c:pt idx="2">
                  <c:v>0.48004823090545989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D75-4CDF-8575-CDC7AEB04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-1992634352"/>
        <c:axId val="-1992646864"/>
      </c:barChart>
      <c:lineChart>
        <c:grouping val="standard"/>
        <c:varyColors val="0"/>
        <c:ser>
          <c:idx val="1"/>
          <c:order val="2"/>
          <c:tx>
            <c:strRef>
              <c:f>'distribución españoles x Resid'!$O$5</c:f>
              <c:strCache>
                <c:ptCount val="1"/>
                <c:pt idx="0">
                  <c:v>var. 25/24</c:v>
                </c:pt>
              </c:strCache>
            </c:strRef>
          </c:tx>
          <c:spPr>
            <a:ln w="28575">
              <a:noFill/>
            </a:ln>
          </c:spPr>
          <c:marker>
            <c:spPr>
              <a:noFill/>
              <a:ln w="12700">
                <a:solidFill>
                  <a:schemeClr val="accent6"/>
                </a:solidFill>
              </a:ln>
            </c:spPr>
          </c:marker>
          <c:dPt>
            <c:idx val="0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D75-4CDF-8575-CDC7AEB0459C}"/>
              </c:ext>
            </c:extLst>
          </c:dPt>
          <c:dPt>
            <c:idx val="1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D75-4CDF-8575-CDC7AEB0459C}"/>
              </c:ext>
            </c:extLst>
          </c:dPt>
          <c:dPt>
            <c:idx val="2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D75-4CDF-8575-CDC7AEB0459C}"/>
              </c:ext>
            </c:extLst>
          </c:dPt>
          <c:dPt>
            <c:idx val="3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D75-4CDF-8575-CDC7AEB0459C}"/>
              </c:ext>
            </c:extLst>
          </c:dPt>
          <c:dPt>
            <c:idx val="4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D75-4CDF-8575-CDC7AEB0459C}"/>
              </c:ext>
            </c:extLst>
          </c:dPt>
          <c:dPt>
            <c:idx val="5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D75-4CDF-8575-CDC7AEB0459C}"/>
              </c:ext>
            </c:extLst>
          </c:dPt>
          <c:dLbls>
            <c:dLbl>
              <c:idx val="0"/>
              <c:layout>
                <c:manualLayout>
                  <c:x val="-5.6085850813717919E-2"/>
                  <c:y val="-0.3882775338836916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D75-4CDF-8575-CDC7AEB0459C}"/>
                </c:ext>
              </c:extLst>
            </c:dLbl>
            <c:dLbl>
              <c:idx val="1"/>
              <c:layout>
                <c:manualLayout>
                  <c:x val="-4.1760392381352811E-2"/>
                  <c:y val="-0.3058447726578812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D75-4CDF-8575-CDC7AEB0459C}"/>
                </c:ext>
              </c:extLst>
            </c:dLbl>
            <c:dLbl>
              <c:idx val="2"/>
              <c:layout>
                <c:manualLayout>
                  <c:x val="-2.9322635206400466E-2"/>
                  <c:y val="-0.2686359015249675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D75-4CDF-8575-CDC7AEB0459C}"/>
                </c:ext>
              </c:extLst>
            </c:dLbl>
            <c:dLbl>
              <c:idx val="3"/>
              <c:layout>
                <c:manualLayout>
                  <c:x val="-2.617759233913217E-2"/>
                  <c:y val="-0.2359705452928810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D75-4CDF-8575-CDC7AEB0459C}"/>
                </c:ext>
              </c:extLst>
            </c:dLbl>
            <c:dLbl>
              <c:idx val="4"/>
              <c:layout>
                <c:manualLayout>
                  <c:x val="-3.7427537735676572E-2"/>
                  <c:y val="-0.2083128129967075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D75-4CDF-8575-CDC7AEB0459C}"/>
                </c:ext>
              </c:extLst>
            </c:dLbl>
            <c:dLbl>
              <c:idx val="5"/>
              <c:layout>
                <c:manualLayout>
                  <c:x val="-5.2666710778799711E-2"/>
                  <c:y val="-0.2380825351976122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D75-4CDF-8575-CDC7AEB0459C}"/>
                </c:ext>
              </c:extLst>
            </c:dLbl>
            <c:numFmt formatCode="0.0%" sourceLinked="0"/>
            <c:spPr>
              <a:noFill/>
              <a:ln w="12700">
                <a:solidFill>
                  <a:srgbClr val="1ECAD3"/>
                </a:solidFill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chemeClr val="accent3"/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Resid'!$O$8,'distribución españoles x Resid'!$O$10:$O$11)</c:f>
              <c:numCache>
                <c:formatCode>0.0%</c:formatCode>
                <c:ptCount val="3"/>
                <c:pt idx="0">
                  <c:v>0.28244274809160297</c:v>
                </c:pt>
                <c:pt idx="1">
                  <c:v>-0.70284518828451881</c:v>
                </c:pt>
                <c:pt idx="2">
                  <c:v>3.1702127659574471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9D75-4CDF-8575-CDC7AEB0459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1992634352"/>
        <c:axId val="-1992646864"/>
      </c:lineChart>
      <c:catAx>
        <c:axId val="-199263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noFill/>
            <a:prstDash val="solid"/>
          </a:ln>
        </c:spPr>
        <c:txPr>
          <a:bodyPr rot="0" vert="horz"/>
          <a:lstStyle/>
          <a:p>
            <a:pPr rtl="0">
              <a:defRPr sz="1100" b="0" i="0" u="none" strike="noStrike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-1992649584"/>
        <c:crosses val="autoZero"/>
        <c:auto val="1"/>
        <c:lblAlgn val="ctr"/>
        <c:lblOffset val="700"/>
        <c:tickLblSkip val="1"/>
        <c:tickMarkSkip val="1"/>
        <c:noMultiLvlLbl val="0"/>
      </c:catAx>
      <c:valAx>
        <c:axId val="-199264958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-1992631632"/>
        <c:crosses val="autoZero"/>
        <c:crossBetween val="between"/>
      </c:valAx>
      <c:catAx>
        <c:axId val="-1992634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-1992646864"/>
        <c:crosses val="autoZero"/>
        <c:auto val="1"/>
        <c:lblAlgn val="ctr"/>
        <c:lblOffset val="100"/>
        <c:noMultiLvlLbl val="0"/>
      </c:catAx>
      <c:valAx>
        <c:axId val="-1992646864"/>
        <c:scaling>
          <c:orientation val="minMax"/>
          <c:max val="0.5"/>
          <c:min val="-0.5"/>
        </c:scaling>
        <c:delete val="1"/>
        <c:axPos val="r"/>
        <c:numFmt formatCode="0.0%" sourceLinked="1"/>
        <c:majorTickMark val="out"/>
        <c:minorTickMark val="none"/>
        <c:tickLblPos val="none"/>
        <c:crossAx val="-1992634352"/>
        <c:crosses val="max"/>
        <c:crossBetween val="between"/>
      </c:valAx>
    </c:plotArea>
    <c:legend>
      <c:legendPos val="t"/>
      <c:layout>
        <c:manualLayout>
          <c:xMode val="edge"/>
          <c:yMode val="edge"/>
          <c:x val="3.9550600542806305E-2"/>
          <c:y val="0.12537201577809509"/>
          <c:w val="0.86702381074488111"/>
          <c:h val="6.7882741570232469E-2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1050" b="0" i="0" u="none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81210082"/>
          <c:y val="0.13979901161003525"/>
          <c:w val="0.85077925409699728"/>
          <c:h val="0.44673508775094251"/>
        </c:manualLayout>
      </c:layout>
      <c:lineChart>
        <c:grouping val="standard"/>
        <c:varyColors val="0"/>
        <c:ser>
          <c:idx val="5"/>
          <c:order val="2"/>
          <c:tx>
            <c:strRef>
              <c:f>'Viajeros entr evol mensu TF'!$I$139:$J$139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97B-4A4B-8B2E-6BBB277215F9}"/>
              </c:ext>
            </c:extLst>
          </c:dPt>
          <c:val>
            <c:numRef>
              <c:f>'Viajeros entr evol mensu TF'!$I$141:$I$153</c:f>
              <c:numCache>
                <c:formatCode>#,##0</c:formatCode>
                <c:ptCount val="13"/>
                <c:pt idx="0">
                  <c:v>1623</c:v>
                </c:pt>
                <c:pt idx="1">
                  <c:v>1902</c:v>
                </c:pt>
                <c:pt idx="2">
                  <c:v>2140</c:v>
                </c:pt>
                <c:pt idx="3">
                  <c:v>1573</c:v>
                </c:pt>
                <c:pt idx="4">
                  <c:v>1613</c:v>
                </c:pt>
                <c:pt idx="5">
                  <c:v>1398</c:v>
                </c:pt>
                <c:pt idx="6">
                  <c:v>1435</c:v>
                </c:pt>
                <c:pt idx="7">
                  <c:v>1506</c:v>
                </c:pt>
                <c:pt idx="8">
                  <c:v>1465</c:v>
                </c:pt>
                <c:pt idx="9">
                  <c:v>1982</c:v>
                </c:pt>
                <c:pt idx="10">
                  <c:v>2298</c:v>
                </c:pt>
                <c:pt idx="11">
                  <c:v>1850</c:v>
                </c:pt>
                <c:pt idx="12">
                  <c:v>20785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7B-4A4B-8B2E-6BBB277215F9}"/>
            </c:ext>
          </c:extLst>
        </c:ser>
        <c:ser>
          <c:idx val="0"/>
          <c:order val="3"/>
          <c:tx>
            <c:strRef>
              <c:f>'Viajeros entr evol mensu TF'!$K$139:$L$139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97B-4A4B-8B2E-6BBB277215F9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TF'!$K$141:$K$153</c:f>
              <c:numCache>
                <c:formatCode>#,##0</c:formatCode>
                <c:ptCount val="13"/>
                <c:pt idx="0">
                  <c:v>1605</c:v>
                </c:pt>
                <c:pt idx="1">
                  <c:v>2028</c:v>
                </c:pt>
                <c:pt idx="2">
                  <c:v>3428</c:v>
                </c:pt>
                <c:pt idx="3">
                  <c:v>1590</c:v>
                </c:pt>
                <c:pt idx="4">
                  <c:v>1681</c:v>
                </c:pt>
                <c:pt idx="5">
                  <c:v>1391</c:v>
                </c:pt>
                <c:pt idx="6">
                  <c:v>1166</c:v>
                </c:pt>
                <c:pt idx="7">
                  <c:v>1232</c:v>
                </c:pt>
                <c:pt idx="8">
                  <c:v>1114</c:v>
                </c:pt>
                <c:pt idx="9">
                  <c:v>1956</c:v>
                </c:pt>
                <c:pt idx="10">
                  <c:v>2484</c:v>
                </c:pt>
                <c:pt idx="11">
                  <c:v>1784</c:v>
                </c:pt>
                <c:pt idx="12">
                  <c:v>21459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97B-4A4B-8B2E-6BBB277215F9}"/>
            </c:ext>
          </c:extLst>
        </c:ser>
        <c:ser>
          <c:idx val="1"/>
          <c:order val="4"/>
          <c:tx>
            <c:strRef>
              <c:f>'Viajeros entr evol mensu TF'!$M$139:$N$139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97B-4A4B-8B2E-6BBB277215F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97B-4A4B-8B2E-6BBB277215F9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TF'!$M$141:$M$153</c:f>
              <c:numCache>
                <c:formatCode>#,##0</c:formatCode>
                <c:ptCount val="13"/>
                <c:pt idx="0">
                  <c:v>1749</c:v>
                </c:pt>
                <c:pt idx="1">
                  <c:v>1749</c:v>
                </c:pt>
                <c:pt idx="2">
                  <c:v>2359</c:v>
                </c:pt>
                <c:pt idx="3">
                  <c:v>2129</c:v>
                </c:pt>
                <c:pt idx="4">
                  <c:v>829</c:v>
                </c:pt>
                <c:pt idx="5">
                  <c:v>1601</c:v>
                </c:pt>
                <c:pt idx="6">
                  <c:v>1615</c:v>
                </c:pt>
                <c:pt idx="7">
                  <c:v>1615</c:v>
                </c:pt>
                <c:pt idx="8">
                  <c:v>1615</c:v>
                </c:pt>
                <c:pt idx="12">
                  <c:v>14913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97B-4A4B-8B2E-6BBB277215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TF'!$C$139:$D$139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97B-4A4B-8B2E-6BBB277215F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TF'!$C$141:$C$153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1507</c:v>
                      </c:pt>
                      <c:pt idx="1">
                        <c:v>1212</c:v>
                      </c:pt>
                      <c:pt idx="2">
                        <c:v>620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902</c:v>
                      </c:pt>
                      <c:pt idx="8">
                        <c:v>76</c:v>
                      </c:pt>
                      <c:pt idx="9">
                        <c:v>194</c:v>
                      </c:pt>
                      <c:pt idx="10">
                        <c:v>606</c:v>
                      </c:pt>
                      <c:pt idx="11">
                        <c:v>440</c:v>
                      </c:pt>
                      <c:pt idx="12">
                        <c:v>6042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97B-4A4B-8B2E-6BBB277215F9}"/>
                  </c:ext>
                </c:extLst>
              </c15:ser>
            </c15:filteredLineSeries>
            <c15:filteredLineSeries>
              <c15:ser>
                <c:idx val="6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'Viajeros entr evol mensu TF'!$G$139:$H$139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5400" cap="rnd">
                    <a:solidFill>
                      <a:srgbClr val="0047BA">
                        <a:lumMod val="20000"/>
                        <a:lumOff val="80000"/>
                      </a:srgb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47BA">
                        <a:lumMod val="20000"/>
                        <a:lumOff val="80000"/>
                      </a:srgbClr>
                    </a:solidFill>
                    <a:ln w="9525"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  <a:ln w="9525">
                        <a:solidFill>
                          <a:srgbClr val="0047BA">
                            <a:lumMod val="20000"/>
                            <a:lumOff val="80000"/>
                          </a:srgbClr>
                        </a:solidFill>
                      </a:ln>
                      <a:effectLst/>
                    </c:spPr>
                  </c:marker>
                  <c:bubble3D val="0"/>
                  <c:spPr>
                    <a:ln w="25400" cap="rnd">
                      <a:noFill/>
                      <a:round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F97B-4A4B-8B2E-6BBB277215F9}"/>
                    </c:ext>
                  </c:extLst>
                </c:dP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('Viajeros entr evol mensu TF'!$G$141:$G$152,'Viajeros entr evol mensu TF'!$G$153)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1070</c:v>
                      </c:pt>
                      <c:pt idx="1">
                        <c:v>1299</c:v>
                      </c:pt>
                      <c:pt idx="2">
                        <c:v>1553</c:v>
                      </c:pt>
                      <c:pt idx="3">
                        <c:v>1519</c:v>
                      </c:pt>
                      <c:pt idx="4">
                        <c:v>881</c:v>
                      </c:pt>
                      <c:pt idx="5">
                        <c:v>1321</c:v>
                      </c:pt>
                      <c:pt idx="6">
                        <c:v>1114</c:v>
                      </c:pt>
                      <c:pt idx="7">
                        <c:v>998</c:v>
                      </c:pt>
                      <c:pt idx="8">
                        <c:v>1047</c:v>
                      </c:pt>
                      <c:pt idx="9">
                        <c:v>1679</c:v>
                      </c:pt>
                      <c:pt idx="10">
                        <c:v>2421</c:v>
                      </c:pt>
                      <c:pt idx="11">
                        <c:v>1685</c:v>
                      </c:pt>
                      <c:pt idx="12">
                        <c:v>16587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F97B-4A4B-8B2E-6BBB277215F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5"/>
          <c:tx>
            <c:strRef>
              <c:f>'Viajeros entr evol mensu TF'!$N$140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97B-4A4B-8B2E-6BBB277215F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97B-4A4B-8B2E-6BBB277215F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97B-4A4B-8B2E-6BBB277215F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97B-4A4B-8B2E-6BBB277215F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97B-4A4B-8B2E-6BBB277215F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97B-4A4B-8B2E-6BBB277215F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97B-4A4B-8B2E-6BBB277215F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97B-4A4B-8B2E-6BBB277215F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97B-4A4B-8B2E-6BBB277215F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97B-4A4B-8B2E-6BBB277215F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97B-4A4B-8B2E-6BBB277215F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97B-4A4B-8B2E-6BBB277215F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97B-4A4B-8B2E-6BBB277215F9}"/>
              </c:ext>
            </c:extLst>
          </c:dPt>
          <c:cat>
            <c:strRef>
              <c:f>'Viajeros entr evol mensu TF'!$B$141:$B$152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TF'!$N$141:$N$153</c:f>
              <c:numCache>
                <c:formatCode>0.0%</c:formatCode>
                <c:ptCount val="13"/>
                <c:pt idx="0">
                  <c:v>8.9719626168224265E-2</c:v>
                </c:pt>
                <c:pt idx="1">
                  <c:v>-0.1375739644970414</c:v>
                </c:pt>
                <c:pt idx="2">
                  <c:v>-0.31184364060676784</c:v>
                </c:pt>
                <c:pt idx="3">
                  <c:v>0.33899371069182394</c:v>
                </c:pt>
                <c:pt idx="4">
                  <c:v>-0.50684116597263529</c:v>
                </c:pt>
                <c:pt idx="5">
                  <c:v>0.15097052480230055</c:v>
                </c:pt>
                <c:pt idx="6">
                  <c:v>0.38507718696397952</c:v>
                </c:pt>
                <c:pt idx="7">
                  <c:v>0.31087662337662336</c:v>
                </c:pt>
                <c:pt idx="8">
                  <c:v>0.4497307001795332</c:v>
                </c:pt>
                <c:pt idx="12">
                  <c:v>-2.1135543157203784E-2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97B-4A4B-8B2E-6BBB277215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Resid'!$N$5</c:f>
          <c:strCache>
            <c:ptCount val="1"/>
            <c:pt idx="0">
              <c:v>acumulado septiembre 2025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135460146906506"/>
          <c:y val="0.2283322201574197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españoles x Resid'!$N$5</c:f>
              <c:strCache>
                <c:ptCount val="1"/>
                <c:pt idx="0">
                  <c:v>acumulado septiembre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7E5-4EA8-9687-195AEA265C1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7E5-4EA8-9687-195AEA265C1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7E5-4EA8-9687-195AEA265C1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7E5-4EA8-9687-195AEA265C1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77E5-4EA8-9687-195AEA265C15}"/>
              </c:ext>
            </c:extLst>
          </c:dPt>
          <c:dLbls>
            <c:dLbl>
              <c:idx val="0"/>
              <c:layout>
                <c:manualLayout>
                  <c:x val="-7.2623912404118932E-2"/>
                  <c:y val="-7.387580591664356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E5-4EA8-9687-195AEA265C15}"/>
                </c:ext>
              </c:extLst>
            </c:dLbl>
            <c:dLbl>
              <c:idx val="1"/>
              <c:layout>
                <c:manualLayout>
                  <c:x val="3.6318654252135235E-2"/>
                  <c:y val="0.13190362168375808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7E5-4EA8-9687-195AEA265C15}"/>
                </c:ext>
              </c:extLst>
            </c:dLbl>
            <c:dLbl>
              <c:idx val="2"/>
              <c:layout>
                <c:manualLayout>
                  <c:x val="2.4638777203978012E-2"/>
                  <c:y val="-4.13174550526827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7E5-4EA8-9687-195AEA265C15}"/>
                </c:ext>
              </c:extLst>
            </c:dLbl>
            <c:dLbl>
              <c:idx val="3"/>
              <c:layout>
                <c:manualLayout>
                  <c:x val="-6.361061988303239E-2"/>
                  <c:y val="4.5949859715811387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7E5-4EA8-9687-195AEA265C15}"/>
                </c:ext>
              </c:extLst>
            </c:dLbl>
            <c:dLbl>
              <c:idx val="4"/>
              <c:layout>
                <c:manualLayout>
                  <c:x val="2.5258524449330633E-2"/>
                  <c:y val="-3.37074245029716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7E5-4EA8-9687-195AEA265C15}"/>
                </c:ext>
              </c:extLst>
            </c:dLbl>
            <c:dLbl>
              <c:idx val="5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7E5-4EA8-9687-195AEA265C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Resid'!$N$8,'distribución españoles x Resid'!$N$10:$N$11)</c:f>
              <c:numCache>
                <c:formatCode>#,##0</c:formatCode>
                <c:ptCount val="3"/>
                <c:pt idx="0">
                  <c:v>10248</c:v>
                </c:pt>
                <c:pt idx="1">
                  <c:v>3551</c:v>
                </c:pt>
                <c:pt idx="2">
                  <c:v>12740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7E5-4EA8-9687-195AEA265C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76D-42D4-8CB9-F3CC237F04CD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6D-42D4-8CB9-F3CC237F04CD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76D-42D4-8CB9-F3CC237F04CD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76D-42D4-8CB9-F3CC237F04CD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76D-42D4-8CB9-F3CC237F04CD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76D-42D4-8CB9-F3CC237F04CD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76D-42D4-8CB9-F3CC237F04CD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76D-42D4-8CB9-F3CC237F04CD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76D-42D4-8CB9-F3CC237F04CD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76D-42D4-8CB9-F3CC237F04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E76D-42D4-8CB9-F3CC237F04CD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76D-42D4-8CB9-F3CC237F04CD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76D-42D4-8CB9-F3CC237F04CD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76D-42D4-8CB9-F3CC237F04CD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76D-42D4-8CB9-F3CC237F04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E76D-42D4-8CB9-F3CC237F04CD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E76D-42D4-8CB9-F3CC237F04CD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76D-42D4-8CB9-F3CC237F04CD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76D-42D4-8CB9-F3CC237F04CD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76D-42D4-8CB9-F3CC237F04CD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76D-42D4-8CB9-F3CC237F04CD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76D-42D4-8CB9-F3CC237F04CD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76D-42D4-8CB9-F3CC237F04CD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76D-42D4-8CB9-F3CC237F04CD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76D-42D4-8CB9-F3CC237F04CD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76D-42D4-8CB9-F3CC237F04CD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E76D-42D4-8CB9-F3CC237F04CD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E76D-42D4-8CB9-F3CC237F04CD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E76D-42D4-8CB9-F3CC237F04CD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E76D-42D4-8CB9-F3CC237F04CD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E76D-42D4-8CB9-F3CC237F04CD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E76D-42D4-8CB9-F3CC237F04CD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E76D-42D4-8CB9-F3CC237F04CD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E76D-42D4-8CB9-F3CC237F04CD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E76D-42D4-8CB9-F3CC237F04CD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E76D-42D4-8CB9-F3CC237F04CD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E76D-42D4-8CB9-F3CC237F04CD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E76D-42D4-8CB9-F3CC237F04CD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E76D-42D4-8CB9-F3CC237F04CD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E76D-42D4-8CB9-F3CC237F04CD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E76D-42D4-8CB9-F3CC237F04CD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E76D-42D4-8CB9-F3CC237F04CD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E76D-42D4-8CB9-F3CC237F04CD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E76D-42D4-8CB9-F3CC237F04CD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E76D-42D4-8CB9-F3CC237F04CD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E76D-42D4-8CB9-F3CC237F04CD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E76D-42D4-8CB9-F3CC237F04CD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E76D-42D4-8CB9-F3CC237F04CD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E76D-42D4-8CB9-F3CC237F04CD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E76D-42D4-8CB9-F3CC237F04CD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E76D-42D4-8CB9-F3CC237F04CD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E76D-42D4-8CB9-F3CC237F04CD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E76D-42D4-8CB9-F3CC237F04CD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E76D-42D4-8CB9-F3CC237F04CD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E76D-42D4-8CB9-F3CC237F04CD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E76D-42D4-8CB9-F3CC237F04CD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E76D-42D4-8CB9-F3CC237F04CD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E76D-42D4-8CB9-F3CC237F04CD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E76D-42D4-8CB9-F3CC237F04CD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E76D-42D4-8CB9-F3CC237F04CD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E76D-42D4-8CB9-F3CC237F04CD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E76D-42D4-8CB9-F3CC237F04CD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E76D-42D4-8CB9-F3CC237F04CD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E76D-42D4-8CB9-F3CC237F04CD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E76D-42D4-8CB9-F3CC237F04CD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E76D-42D4-8CB9-F3CC237F04CD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E76D-42D4-8CB9-F3CC237F04CD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E76D-42D4-8CB9-F3CC237F04CD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E76D-42D4-8CB9-F3CC237F04CD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E76D-42D4-8CB9-F3CC237F04CD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E76D-42D4-8CB9-F3CC237F04CD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E76D-42D4-8CB9-F3CC237F04CD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E76D-42D4-8CB9-F3CC237F04CD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E76D-42D4-8CB9-F3CC237F04CD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E76D-42D4-8CB9-F3CC237F04CD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E76D-42D4-8CB9-F3CC237F04CD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E76D-42D4-8CB9-F3CC237F04CD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E76D-42D4-8CB9-F3CC237F04CD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E76D-42D4-8CB9-F3CC237F04CD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E76D-42D4-8CB9-F3CC237F04CD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E76D-42D4-8CB9-F3CC237F04CD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E76D-42D4-8CB9-F3CC237F04CD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E76D-42D4-8CB9-F3CC237F04CD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E76D-42D4-8CB9-F3CC237F04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cate'!$O$5</c:f>
          <c:strCache>
            <c:ptCount val="1"/>
            <c:pt idx="0">
              <c:v>acumulado septiembre 2025</c:v>
            </c:pt>
          </c:strCache>
        </c:strRef>
      </c:tx>
      <c:layout>
        <c:manualLayout>
          <c:xMode val="edge"/>
          <c:yMode val="edge"/>
          <c:x val="1.9790128254955335E-2"/>
          <c:y val="0.11378641322422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7227838455676912"/>
          <c:y val="0.27985647838041661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españoles x cate'!$O$5</c:f>
              <c:strCache>
                <c:ptCount val="1"/>
                <c:pt idx="0">
                  <c:v>acumulado septiembre 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C38-4C96-BF1C-8562F5B1A540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C38-4C96-BF1C-8562F5B1A540}"/>
              </c:ext>
            </c:extLst>
          </c:dPt>
          <c:dLbls>
            <c:dLbl>
              <c:idx val="0"/>
              <c:layout>
                <c:manualLayout>
                  <c:x val="5.8624923664234739E-2"/>
                  <c:y val="2.6266777414537038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38-4C96-BF1C-8562F5B1A540}"/>
                </c:ext>
              </c:extLst>
            </c:dLbl>
            <c:dLbl>
              <c:idx val="1"/>
              <c:layout>
                <c:manualLayout>
                  <c:x val="-2.8012260925233727E-2"/>
                  <c:y val="-8.9147432115961704E-3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C38-4C96-BF1C-8562F5B1A540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españoles x cate'!$B$8:$B$9,'distribución españoles x cate'!$B$11:$B$12)</c:f>
              <c:strCache>
                <c:ptCount val="2"/>
                <c:pt idx="0">
                  <c:v>1, 2, 3 Estrellas</c:v>
                </c:pt>
                <c:pt idx="1">
                  <c:v>4, 5 Estrellas</c:v>
                </c:pt>
              </c:strCache>
            </c:strRef>
          </c:cat>
          <c:val>
            <c:numRef>
              <c:f>('distribución españoles x cate'!$O$8:$O$9,'distribución españoles x cate'!$O$11:$O$12)</c:f>
              <c:numCache>
                <c:formatCode>#,##0</c:formatCode>
                <c:ptCount val="2"/>
                <c:pt idx="0">
                  <c:v>2639</c:v>
                </c:pt>
                <c:pt idx="1">
                  <c:v>16267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C38-4C96-BF1C-8562F5B1A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cate'!$B$3</c:f>
          <c:strCache>
            <c:ptCount val="1"/>
            <c:pt idx="0">
              <c:v>Viajeros españoles entrados en los hoteles y apartamentos de Santiago del Teide por tipología y categoría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51033901177778"/>
          <c:y val="0.19147788492398393"/>
          <c:w val="0.84489659872277323"/>
          <c:h val="0.4351614491351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españoles x cate'!$G$5</c:f>
              <c:strCache>
                <c:ptCount val="1"/>
                <c:pt idx="0">
                  <c:v>acumulado septiembre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españoles x cate'!$B$7:$B$12</c:f>
              <c:strCache>
                <c:ptCount val="4"/>
                <c:pt idx="0">
                  <c:v>Hoteles</c:v>
                </c:pt>
                <c:pt idx="1">
                  <c:v>1, 2, 3 Estrellas</c:v>
                </c:pt>
                <c:pt idx="2">
                  <c:v>4, 5 Estrellas</c:v>
                </c:pt>
                <c:pt idx="3">
                  <c:v>Apartamentos</c:v>
                </c:pt>
              </c:strCache>
            </c:strRef>
          </c:cat>
          <c:val>
            <c:numRef>
              <c:f>'distribución españoles x cate'!$G$7:$G$10</c:f>
              <c:numCache>
                <c:formatCode>#,##0</c:formatCode>
                <c:ptCount val="4"/>
                <c:pt idx="0">
                  <c:v>18970</c:v>
                </c:pt>
                <c:pt idx="1">
                  <c:v>5848</c:v>
                </c:pt>
                <c:pt idx="2">
                  <c:v>13122</c:v>
                </c:pt>
                <c:pt idx="3">
                  <c:v>7504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42-4DE7-9C63-DFE3A3A64E6A}"/>
            </c:ext>
          </c:extLst>
        </c:ser>
        <c:ser>
          <c:idx val="1"/>
          <c:order val="1"/>
          <c:tx>
            <c:strRef>
              <c:f>'distribución españoles x cate'!$K$5</c:f>
              <c:strCache>
                <c:ptCount val="1"/>
                <c:pt idx="0">
                  <c:v>acumulado septiembre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cate'!$K$7:$K$12</c:f>
              <c:numCache>
                <c:formatCode>#,##0</c:formatCode>
                <c:ptCount val="4"/>
                <c:pt idx="0">
                  <c:v>16443</c:v>
                </c:pt>
                <c:pt idx="1">
                  <c:v>6251</c:v>
                </c:pt>
                <c:pt idx="2">
                  <c:v>10192</c:v>
                </c:pt>
                <c:pt idx="3">
                  <c:v>6553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42-4DE7-9C63-DFE3A3A64E6A}"/>
            </c:ext>
          </c:extLst>
        </c:ser>
        <c:ser>
          <c:idx val="2"/>
          <c:order val="2"/>
          <c:tx>
            <c:strRef>
              <c:f>'distribución españoles x cate'!$O$5</c:f>
              <c:strCache>
                <c:ptCount val="1"/>
                <c:pt idx="0">
                  <c:v>acumulado septiembre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cate'!$O$7:$O$12</c:f>
              <c:numCache>
                <c:formatCode>#,##0</c:formatCode>
                <c:ptCount val="4"/>
                <c:pt idx="0">
                  <c:v>18906</c:v>
                </c:pt>
                <c:pt idx="1">
                  <c:v>2639</c:v>
                </c:pt>
                <c:pt idx="2">
                  <c:v>16267</c:v>
                </c:pt>
                <c:pt idx="3">
                  <c:v>7633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42-4DE7-9C63-DFE3A3A64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españoles x cate'!$P$5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cate'!$P$7:$P$12</c:f>
              <c:numCache>
                <c:formatCode>0.0%</c:formatCode>
                <c:ptCount val="4"/>
                <c:pt idx="0">
                  <c:v>0.14979018427294299</c:v>
                </c:pt>
                <c:pt idx="1">
                  <c:v>-0.57782754759238519</c:v>
                </c:pt>
                <c:pt idx="2">
                  <c:v>0.59605572998430145</c:v>
                </c:pt>
                <c:pt idx="3">
                  <c:v>0.16481001068213041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342-4DE7-9C63-DFE3A3A64E6A}"/>
            </c:ext>
          </c:extLst>
        </c:ser>
        <c:ser>
          <c:idx val="6"/>
          <c:order val="4"/>
          <c:tx>
            <c:strRef>
              <c:f>'distribución españoles x cate'!$T$5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cate'!$T$7:$T$12</c:f>
              <c:numCache>
                <c:formatCode>0.0%</c:formatCode>
                <c:ptCount val="4"/>
                <c:pt idx="0">
                  <c:v>0.71238554580051994</c:v>
                </c:pt>
                <c:pt idx="1">
                  <c:v>9.9438562116130974E-2</c:v>
                </c:pt>
                <c:pt idx="2">
                  <c:v>0.61294698368438905</c:v>
                </c:pt>
                <c:pt idx="3">
                  <c:v>0.28761445419948001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342-4DE7-9C63-DFE3A3A64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peninsulare x cate'!$O$5</c:f>
          <c:strCache>
            <c:ptCount val="1"/>
            <c:pt idx="0">
              <c:v>acumulado septiembre 2025</c:v>
            </c:pt>
          </c:strCache>
        </c:strRef>
      </c:tx>
      <c:layout>
        <c:manualLayout>
          <c:xMode val="edge"/>
          <c:yMode val="edge"/>
          <c:x val="1.9790128254955335E-2"/>
          <c:y val="0.11378641322422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7227838455676912"/>
          <c:y val="0.27985647838041661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peninsulare x cate'!$O$5</c:f>
              <c:strCache>
                <c:ptCount val="1"/>
                <c:pt idx="0">
                  <c:v>acumulado septiembre 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2C5-4FC5-B397-B0654DE887F8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2C5-4FC5-B397-B0654DE887F8}"/>
              </c:ext>
            </c:extLst>
          </c:dPt>
          <c:dLbls>
            <c:dLbl>
              <c:idx val="0"/>
              <c:layout>
                <c:manualLayout>
                  <c:x val="5.8624923664234739E-2"/>
                  <c:y val="2.6266777414537038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C5-4FC5-B397-B0654DE887F8}"/>
                </c:ext>
              </c:extLst>
            </c:dLbl>
            <c:dLbl>
              <c:idx val="1"/>
              <c:layout>
                <c:manualLayout>
                  <c:x val="-2.8012260925233727E-2"/>
                  <c:y val="-8.9147432115961704E-3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C5-4FC5-B397-B0654DE887F8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peninsulare x cate'!$B$8:$B$9,'distribución peninsulare x cate'!$B$11:$B$12)</c:f>
              <c:strCache>
                <c:ptCount val="2"/>
                <c:pt idx="0">
                  <c:v>1, 2, 3 Estrellas</c:v>
                </c:pt>
                <c:pt idx="1">
                  <c:v>4, 5 Estrellas</c:v>
                </c:pt>
              </c:strCache>
            </c:strRef>
          </c:cat>
          <c:val>
            <c:numRef>
              <c:f>('distribución peninsulare x cate'!$O$8:$O$9,'distribución peninsulare x cate'!$O$11:$O$12)</c:f>
              <c:numCache>
                <c:formatCode>#,##0</c:formatCode>
                <c:ptCount val="2"/>
                <c:pt idx="0">
                  <c:v>0</c:v>
                </c:pt>
                <c:pt idx="1">
                  <c:v>6935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2C5-4FC5-B397-B0654DE88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peninsulare x cate'!$B$3</c:f>
          <c:strCache>
            <c:ptCount val="1"/>
            <c:pt idx="0">
              <c:v>Viajeros peninsulares entrados en los hoteles y apartamentos de Santiago del Teide por tipología y categoría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51033901177778"/>
          <c:y val="0.19147788492398393"/>
          <c:w val="0.84489659872277323"/>
          <c:h val="0.4351614491351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peninsulare x cate'!$G$5</c:f>
              <c:strCache>
                <c:ptCount val="1"/>
                <c:pt idx="0">
                  <c:v>acumulado septiembre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peninsulare x cate'!$B$7:$B$12</c:f>
              <c:strCache>
                <c:ptCount val="4"/>
                <c:pt idx="0">
                  <c:v>Hoteles</c:v>
                </c:pt>
                <c:pt idx="1">
                  <c:v>1, 2, 3 Estrellas</c:v>
                </c:pt>
                <c:pt idx="2">
                  <c:v>4, 5 Estrellas</c:v>
                </c:pt>
                <c:pt idx="3">
                  <c:v>Apartamentos</c:v>
                </c:pt>
              </c:strCache>
            </c:strRef>
          </c:cat>
          <c:val>
            <c:numRef>
              <c:f>'distribución peninsulare x cate'!$G$7:$G$10</c:f>
              <c:numCache>
                <c:formatCode>#,##0</c:formatCode>
                <c:ptCount val="4"/>
                <c:pt idx="0">
                  <c:v>6741</c:v>
                </c:pt>
                <c:pt idx="1">
                  <c:v>0</c:v>
                </c:pt>
                <c:pt idx="2">
                  <c:v>6741</c:v>
                </c:pt>
                <c:pt idx="3">
                  <c:v>2269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6B-432B-9A69-A56C87864719}"/>
            </c:ext>
          </c:extLst>
        </c:ser>
        <c:ser>
          <c:idx val="1"/>
          <c:order val="1"/>
          <c:tx>
            <c:strRef>
              <c:f>'distribución peninsulare x cate'!$K$5</c:f>
              <c:strCache>
                <c:ptCount val="1"/>
                <c:pt idx="0">
                  <c:v>acumulado septiembre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peninsulare x cate'!$K$7:$K$12</c:f>
              <c:numCache>
                <c:formatCode>#,##0</c:formatCode>
                <c:ptCount val="4"/>
                <c:pt idx="0">
                  <c:v>6155</c:v>
                </c:pt>
                <c:pt idx="1">
                  <c:v>0</c:v>
                </c:pt>
                <c:pt idx="2">
                  <c:v>6155</c:v>
                </c:pt>
                <c:pt idx="3">
                  <c:v>1836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6B-432B-9A69-A56C87864719}"/>
            </c:ext>
          </c:extLst>
        </c:ser>
        <c:ser>
          <c:idx val="2"/>
          <c:order val="2"/>
          <c:tx>
            <c:strRef>
              <c:f>'distribución peninsulare x cate'!$O$5</c:f>
              <c:strCache>
                <c:ptCount val="1"/>
                <c:pt idx="0">
                  <c:v>acumulado septiembre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peninsulare x cate'!$O$7:$O$12</c:f>
              <c:numCache>
                <c:formatCode>#,##0</c:formatCode>
                <c:ptCount val="4"/>
                <c:pt idx="0">
                  <c:v>6935</c:v>
                </c:pt>
                <c:pt idx="1">
                  <c:v>0</c:v>
                </c:pt>
                <c:pt idx="2">
                  <c:v>6935</c:v>
                </c:pt>
                <c:pt idx="3">
                  <c:v>3313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6B-432B-9A69-A56C87864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peninsulare x cate'!$P$5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peninsulare x cate'!$P$7:$P$12</c:f>
              <c:numCache>
                <c:formatCode>0.0%</c:formatCode>
                <c:ptCount val="4"/>
                <c:pt idx="0">
                  <c:v>0.12672623883021927</c:v>
                </c:pt>
                <c:pt idx="1">
                  <c:v>0</c:v>
                </c:pt>
                <c:pt idx="2">
                  <c:v>0.12672623883021927</c:v>
                </c:pt>
                <c:pt idx="3">
                  <c:v>0.80446623093681913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6B-432B-9A69-A56C87864719}"/>
            </c:ext>
          </c:extLst>
        </c:ser>
        <c:ser>
          <c:idx val="6"/>
          <c:order val="4"/>
          <c:tx>
            <c:strRef>
              <c:f>'distribución peninsulare x cate'!$T$5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peninsulare x cate'!$T$7:$T$12</c:f>
              <c:numCache>
                <c:formatCode>0.0%</c:formatCode>
                <c:ptCount val="4"/>
                <c:pt idx="0">
                  <c:v>0.67671740827478533</c:v>
                </c:pt>
                <c:pt idx="1">
                  <c:v>0</c:v>
                </c:pt>
                <c:pt idx="2">
                  <c:v>0.67671740827478533</c:v>
                </c:pt>
                <c:pt idx="3">
                  <c:v>0.32328259172521467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96B-432B-9A69-A56C87864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canarios x cate'!$O$5</c:f>
          <c:strCache>
            <c:ptCount val="1"/>
            <c:pt idx="0">
              <c:v>acumulado septiembre 2025</c:v>
            </c:pt>
          </c:strCache>
        </c:strRef>
      </c:tx>
      <c:layout>
        <c:manualLayout>
          <c:xMode val="edge"/>
          <c:yMode val="edge"/>
          <c:x val="1.9790128254955335E-2"/>
          <c:y val="0.11378641322422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7227838455676912"/>
          <c:y val="0.27985647838041661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canarios x cate'!$O$5</c:f>
              <c:strCache>
                <c:ptCount val="1"/>
                <c:pt idx="0">
                  <c:v>acumulado septiembre 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78C-4184-B64B-86CE3E756F88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78C-4184-B64B-86CE3E756F88}"/>
              </c:ext>
            </c:extLst>
          </c:dPt>
          <c:dLbls>
            <c:dLbl>
              <c:idx val="0"/>
              <c:layout>
                <c:manualLayout>
                  <c:x val="5.8624923664234739E-2"/>
                  <c:y val="2.6266777414537038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8C-4184-B64B-86CE3E756F88}"/>
                </c:ext>
              </c:extLst>
            </c:dLbl>
            <c:dLbl>
              <c:idx val="1"/>
              <c:layout>
                <c:manualLayout>
                  <c:x val="-2.8012260925233727E-2"/>
                  <c:y val="-8.9147432115961704E-3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78C-4184-B64B-86CE3E756F88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canarios x cate'!$B$8:$B$9,'distribución canarios x cate'!$B$11:$B$12)</c:f>
              <c:strCache>
                <c:ptCount val="2"/>
                <c:pt idx="0">
                  <c:v>1, 2, 3 Estrellas</c:v>
                </c:pt>
                <c:pt idx="1">
                  <c:v>4, 5 Estrellas</c:v>
                </c:pt>
              </c:strCache>
            </c:strRef>
          </c:cat>
          <c:val>
            <c:numRef>
              <c:f>('distribución canarios x cate'!$O$8:$O$9,'distribución canarios x cate'!$O$11:$O$12)</c:f>
              <c:numCache>
                <c:formatCode>#,##0</c:formatCode>
                <c:ptCount val="2"/>
                <c:pt idx="0">
                  <c:v>2639</c:v>
                </c:pt>
                <c:pt idx="1">
                  <c:v>9332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78C-4184-B64B-86CE3E756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canarios x cate'!$B$3</c:f>
          <c:strCache>
            <c:ptCount val="1"/>
            <c:pt idx="0">
              <c:v>Viajeros canarios entrados en los hoteles y apartamentos de Santiago del Teide por tipología y categoría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51033901177778"/>
          <c:y val="0.19147788492398393"/>
          <c:w val="0.84489659872277323"/>
          <c:h val="0.4351614491351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canarios x cate'!$G$5</c:f>
              <c:strCache>
                <c:ptCount val="1"/>
                <c:pt idx="0">
                  <c:v>acumulado septiembre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canarios x cate'!$B$7:$B$12</c:f>
              <c:strCache>
                <c:ptCount val="4"/>
                <c:pt idx="0">
                  <c:v>Hoteles</c:v>
                </c:pt>
                <c:pt idx="1">
                  <c:v>1, 2, 3 Estrellas</c:v>
                </c:pt>
                <c:pt idx="2">
                  <c:v>4, 5 Estrellas</c:v>
                </c:pt>
                <c:pt idx="3">
                  <c:v>Apartamentos</c:v>
                </c:pt>
              </c:strCache>
            </c:strRef>
          </c:cat>
          <c:val>
            <c:numRef>
              <c:f>'distribución canarios x cate'!$G$7:$G$10</c:f>
              <c:numCache>
                <c:formatCode>#,##0</c:formatCode>
                <c:ptCount val="4"/>
                <c:pt idx="0">
                  <c:v>12229</c:v>
                </c:pt>
                <c:pt idx="1">
                  <c:v>5848</c:v>
                </c:pt>
                <c:pt idx="2">
                  <c:v>6381</c:v>
                </c:pt>
                <c:pt idx="3">
                  <c:v>5235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9A-4D9A-82A3-252AB281F9E2}"/>
            </c:ext>
          </c:extLst>
        </c:ser>
        <c:ser>
          <c:idx val="1"/>
          <c:order val="1"/>
          <c:tx>
            <c:strRef>
              <c:f>'distribución canarios x cate'!$K$5</c:f>
              <c:strCache>
                <c:ptCount val="1"/>
                <c:pt idx="0">
                  <c:v>acumulado septiembre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canarios x cate'!$K$7:$K$12</c:f>
              <c:numCache>
                <c:formatCode>#,##0</c:formatCode>
                <c:ptCount val="4"/>
                <c:pt idx="0">
                  <c:v>10288</c:v>
                </c:pt>
                <c:pt idx="1">
                  <c:v>6251</c:v>
                </c:pt>
                <c:pt idx="2">
                  <c:v>4037</c:v>
                </c:pt>
                <c:pt idx="3">
                  <c:v>4717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9A-4D9A-82A3-252AB281F9E2}"/>
            </c:ext>
          </c:extLst>
        </c:ser>
        <c:ser>
          <c:idx val="2"/>
          <c:order val="2"/>
          <c:tx>
            <c:strRef>
              <c:f>'distribución canarios x cate'!$O$5</c:f>
              <c:strCache>
                <c:ptCount val="1"/>
                <c:pt idx="0">
                  <c:v>acumulado septiembre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canarios x cate'!$O$7:$O$12</c:f>
              <c:numCache>
                <c:formatCode>#,##0</c:formatCode>
                <c:ptCount val="4"/>
                <c:pt idx="0">
                  <c:v>11971</c:v>
                </c:pt>
                <c:pt idx="1">
                  <c:v>2639</c:v>
                </c:pt>
                <c:pt idx="2">
                  <c:v>9332</c:v>
                </c:pt>
                <c:pt idx="3">
                  <c:v>4320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9A-4D9A-82A3-252AB281F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canarios x cate'!$P$5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canarios x cate'!$P$7:$P$12</c:f>
              <c:numCache>
                <c:formatCode>0.0%</c:formatCode>
                <c:ptCount val="4"/>
                <c:pt idx="0">
                  <c:v>0.16358864696734066</c:v>
                </c:pt>
                <c:pt idx="1">
                  <c:v>-0.57782754759238519</c:v>
                </c:pt>
                <c:pt idx="2">
                  <c:v>1.3116175377755761</c:v>
                </c:pt>
                <c:pt idx="3">
                  <c:v>-8.416366334534664E-2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9A-4D9A-82A3-252AB281F9E2}"/>
            </c:ext>
          </c:extLst>
        </c:ser>
        <c:ser>
          <c:idx val="6"/>
          <c:order val="4"/>
          <c:tx>
            <c:strRef>
              <c:f>'distribución canarios x cate'!$T$5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canarios x cate'!$T$7:$T$12</c:f>
              <c:numCache>
                <c:formatCode>0.0%</c:formatCode>
                <c:ptCount val="4"/>
                <c:pt idx="0">
                  <c:v>0.73482290835430608</c:v>
                </c:pt>
                <c:pt idx="1">
                  <c:v>0.16199128353078387</c:v>
                </c:pt>
                <c:pt idx="2">
                  <c:v>0.57283162482352223</c:v>
                </c:pt>
                <c:pt idx="3">
                  <c:v>0.26517709164569392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E9A-4D9A-82A3-252AB281F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mun al'!$O$5</c:f>
          <c:strCache>
            <c:ptCount val="1"/>
            <c:pt idx="0">
              <c:v>acumulado septiembre 2025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3757176234101782"/>
          <c:y val="0.19060850703570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españoles x mun al'!$O$5</c:f>
              <c:strCache>
                <c:ptCount val="1"/>
                <c:pt idx="0">
                  <c:v>acumulado septiembre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DC6-445C-846C-3CBAE0910EA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DC6-445C-846C-3CBAE0910EA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DC6-445C-846C-3CBAE0910EA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FDC6-445C-846C-3CBAE0910EA4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FDC6-445C-846C-3CBAE0910EA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DC6-445C-846C-3CBAE0910EA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DC6-445C-846C-3CBAE0910EA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FDC6-445C-846C-3CBAE0910EA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FDC6-445C-846C-3CBAE0910EA4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FDC6-445C-846C-3CBAE0910EA4}"/>
              </c:ext>
            </c:extLst>
          </c:dPt>
          <c:dLbls>
            <c:dLbl>
              <c:idx val="0"/>
              <c:layout>
                <c:manualLayout>
                  <c:x val="-7.5339122360884497E-2"/>
                  <c:y val="4.59714145008051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C6-445C-846C-3CBAE0910EA4}"/>
                </c:ext>
              </c:extLst>
            </c:dLbl>
            <c:dLbl>
              <c:idx val="1"/>
              <c:layout>
                <c:manualLayout>
                  <c:x val="-9.3387190520987984E-2"/>
                  <c:y val="4.81960591187521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C6-445C-846C-3CBAE0910EA4}"/>
                </c:ext>
              </c:extLst>
            </c:dLbl>
            <c:dLbl>
              <c:idx val="2"/>
              <c:layout>
                <c:manualLayout>
                  <c:x val="-0.11098057931923191"/>
                  <c:y val="1.177616325717542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DC6-445C-846C-3CBAE0910EA4}"/>
                </c:ext>
              </c:extLst>
            </c:dLbl>
            <c:dLbl>
              <c:idx val="3"/>
              <c:layout>
                <c:manualLayout>
                  <c:x val="-0.13331713361065792"/>
                  <c:y val="1.20034749697046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DC6-445C-846C-3CBAE0910EA4}"/>
                </c:ext>
              </c:extLst>
            </c:dLbl>
            <c:dLbl>
              <c:idx val="4"/>
              <c:layout>
                <c:manualLayout>
                  <c:x val="1.1125366254599619E-2"/>
                  <c:y val="-4.83815383934351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DC6-445C-846C-3CBAE0910EA4}"/>
                </c:ext>
              </c:extLst>
            </c:dLbl>
            <c:dLbl>
              <c:idx val="5"/>
              <c:layout>
                <c:manualLayout>
                  <c:x val="4.6608807014449298E-2"/>
                  <c:y val="-6.15330813795851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DC6-445C-846C-3CBAE0910EA4}"/>
                </c:ext>
              </c:extLst>
            </c:dLbl>
            <c:dLbl>
              <c:idx val="6"/>
              <c:layout>
                <c:manualLayout>
                  <c:x val="9.1737743332696367E-2"/>
                  <c:y val="-0.1007623906463554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DC6-445C-846C-3CBAE0910EA4}"/>
                </c:ext>
              </c:extLst>
            </c:dLbl>
            <c:dLbl>
              <c:idx val="7"/>
              <c:layout>
                <c:manualLayout>
                  <c:x val="0.12098099885836359"/>
                  <c:y val="-1.921990250164618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DC6-445C-846C-3CBAE0910EA4}"/>
                </c:ext>
              </c:extLst>
            </c:dLbl>
            <c:dLbl>
              <c:idx val="8"/>
              <c:layout>
                <c:manualLayout>
                  <c:x val="0.16659745802158807"/>
                  <c:y val="3.23181035961509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DC6-445C-846C-3CBAE0910EA4}"/>
                </c:ext>
              </c:extLst>
            </c:dLbl>
            <c:dLbl>
              <c:idx val="9"/>
              <c:layout>
                <c:manualLayout>
                  <c:x val="-5.8337222491707218E-2"/>
                  <c:y val="1.835979216582467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008261552331535"/>
                      <c:h val="0.165144061841180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FDC6-445C-846C-3CBAE0910EA4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'distribución españoles x mun al'!$B$7:$B$16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españoles x mun al'!$O$7:$O$16</c:f>
              <c:numCache>
                <c:formatCode>#,##0</c:formatCode>
                <c:ptCount val="10"/>
                <c:pt idx="0">
                  <c:v>120234</c:v>
                </c:pt>
                <c:pt idx="1">
                  <c:v>93244</c:v>
                </c:pt>
                <c:pt idx="2">
                  <c:v>7080</c:v>
                </c:pt>
                <c:pt idx="3">
                  <c:v>321321</c:v>
                </c:pt>
                <c:pt idx="4">
                  <c:v>43451</c:v>
                </c:pt>
                <c:pt idx="5">
                  <c:v>132246</c:v>
                </c:pt>
                <c:pt idx="6">
                  <c:v>25265</c:v>
                </c:pt>
                <c:pt idx="7">
                  <c:v>26539</c:v>
                </c:pt>
                <c:pt idx="8">
                  <c:v>33672</c:v>
                </c:pt>
                <c:pt idx="9">
                  <c:v>42107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FDC6-445C-846C-3CBAE0910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3E-4099-9D9E-5CAB478DEF08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3E-4099-9D9E-5CAB478DEF08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3E-4099-9D9E-5CAB478DEF08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3E-4099-9D9E-5CAB478DEF08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3E-4099-9D9E-5CAB478DEF08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3E-4099-9D9E-5CAB478DEF08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43E-4099-9D9E-5CAB478DEF08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43E-4099-9D9E-5CAB478DEF08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43E-4099-9D9E-5CAB478DEF08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43E-4099-9D9E-5CAB478DEF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743E-4099-9D9E-5CAB478DEF08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43E-4099-9D9E-5CAB478DEF08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43E-4099-9D9E-5CAB478DEF08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43E-4099-9D9E-5CAB478DEF08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43E-4099-9D9E-5CAB478DEF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743E-4099-9D9E-5CAB478DEF08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743E-4099-9D9E-5CAB478DEF08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43E-4099-9D9E-5CAB478DEF08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43E-4099-9D9E-5CAB478DEF08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43E-4099-9D9E-5CAB478DEF08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43E-4099-9D9E-5CAB478DEF08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43E-4099-9D9E-5CAB478DEF08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43E-4099-9D9E-5CAB478DEF08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43E-4099-9D9E-5CAB478DEF08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43E-4099-9D9E-5CAB478DEF08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43E-4099-9D9E-5CAB478DEF08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743E-4099-9D9E-5CAB478DEF08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743E-4099-9D9E-5CAB478DEF08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743E-4099-9D9E-5CAB478DEF08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743E-4099-9D9E-5CAB478DEF08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743E-4099-9D9E-5CAB478DEF08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743E-4099-9D9E-5CAB478DEF08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743E-4099-9D9E-5CAB478DEF08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743E-4099-9D9E-5CAB478DEF08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743E-4099-9D9E-5CAB478DEF08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743E-4099-9D9E-5CAB478DEF08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743E-4099-9D9E-5CAB478DEF08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743E-4099-9D9E-5CAB478DEF08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743E-4099-9D9E-5CAB478DEF08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743E-4099-9D9E-5CAB478DEF08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743E-4099-9D9E-5CAB478DEF08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743E-4099-9D9E-5CAB478DEF08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743E-4099-9D9E-5CAB478DEF08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743E-4099-9D9E-5CAB478DEF08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743E-4099-9D9E-5CAB478DEF08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743E-4099-9D9E-5CAB478DEF08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743E-4099-9D9E-5CAB478DEF08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743E-4099-9D9E-5CAB478DEF08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743E-4099-9D9E-5CAB478DEF08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743E-4099-9D9E-5CAB478DEF08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743E-4099-9D9E-5CAB478DEF08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743E-4099-9D9E-5CAB478DEF08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743E-4099-9D9E-5CAB478DEF08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743E-4099-9D9E-5CAB478DEF08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743E-4099-9D9E-5CAB478DEF08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743E-4099-9D9E-5CAB478DEF08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743E-4099-9D9E-5CAB478DEF08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743E-4099-9D9E-5CAB478DEF08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743E-4099-9D9E-5CAB478DEF08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743E-4099-9D9E-5CAB478DEF08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743E-4099-9D9E-5CAB478DEF08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743E-4099-9D9E-5CAB478DEF08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743E-4099-9D9E-5CAB478DEF08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743E-4099-9D9E-5CAB478DEF08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743E-4099-9D9E-5CAB478DEF08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743E-4099-9D9E-5CAB478DEF08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743E-4099-9D9E-5CAB478DEF08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743E-4099-9D9E-5CAB478DEF08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743E-4099-9D9E-5CAB478DEF08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743E-4099-9D9E-5CAB478DEF08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743E-4099-9D9E-5CAB478DEF08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743E-4099-9D9E-5CAB478DEF08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743E-4099-9D9E-5CAB478DEF08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743E-4099-9D9E-5CAB478DEF08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743E-4099-9D9E-5CAB478DEF08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743E-4099-9D9E-5CAB478DEF08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743E-4099-9D9E-5CAB478DEF08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743E-4099-9D9E-5CAB478DEF08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743E-4099-9D9E-5CAB478DEF08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743E-4099-9D9E-5CAB478DEF08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743E-4099-9D9E-5CAB478DEF08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743E-4099-9D9E-5CAB478DEF08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743E-4099-9D9E-5CAB478DEF08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743E-4099-9D9E-5CAB478DE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TF'!$I$161:$J$161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9D-4DA0-BFB1-8F0594DFA845}"/>
              </c:ext>
            </c:extLst>
          </c:dPt>
          <c:val>
            <c:numRef>
              <c:f>'Viajeros entr evol mensu TF'!$I$163:$I$175</c:f>
              <c:numCache>
                <c:formatCode>#,##0</c:formatCode>
                <c:ptCount val="13"/>
                <c:pt idx="0">
                  <c:v>1657</c:v>
                </c:pt>
                <c:pt idx="1">
                  <c:v>2192</c:v>
                </c:pt>
                <c:pt idx="2">
                  <c:v>1764</c:v>
                </c:pt>
                <c:pt idx="3">
                  <c:v>2972</c:v>
                </c:pt>
                <c:pt idx="4">
                  <c:v>2516</c:v>
                </c:pt>
                <c:pt idx="5">
                  <c:v>1820</c:v>
                </c:pt>
                <c:pt idx="6">
                  <c:v>1969</c:v>
                </c:pt>
                <c:pt idx="7">
                  <c:v>2255</c:v>
                </c:pt>
                <c:pt idx="8">
                  <c:v>2059</c:v>
                </c:pt>
                <c:pt idx="9">
                  <c:v>2556</c:v>
                </c:pt>
                <c:pt idx="10">
                  <c:v>1504</c:v>
                </c:pt>
                <c:pt idx="11">
                  <c:v>1825</c:v>
                </c:pt>
                <c:pt idx="12">
                  <c:v>25089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9D-4DA0-BFB1-8F0594DFA845}"/>
            </c:ext>
          </c:extLst>
        </c:ser>
        <c:ser>
          <c:idx val="0"/>
          <c:order val="2"/>
          <c:tx>
            <c:strRef>
              <c:f>'Viajeros entr evol mensu TF'!$K$161:$L$161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F9D-4DA0-BFB1-8F0594DFA845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TF'!$K$163:$K$175</c:f>
              <c:numCache>
                <c:formatCode>#,##0</c:formatCode>
                <c:ptCount val="13"/>
                <c:pt idx="0">
                  <c:v>1470</c:v>
                </c:pt>
                <c:pt idx="1">
                  <c:v>2057</c:v>
                </c:pt>
                <c:pt idx="2">
                  <c:v>2459</c:v>
                </c:pt>
                <c:pt idx="3">
                  <c:v>3165</c:v>
                </c:pt>
                <c:pt idx="4">
                  <c:v>2477</c:v>
                </c:pt>
                <c:pt idx="5">
                  <c:v>1716</c:v>
                </c:pt>
                <c:pt idx="6">
                  <c:v>1892</c:v>
                </c:pt>
                <c:pt idx="7">
                  <c:v>2125</c:v>
                </c:pt>
                <c:pt idx="8">
                  <c:v>1668</c:v>
                </c:pt>
                <c:pt idx="9">
                  <c:v>2794</c:v>
                </c:pt>
                <c:pt idx="10">
                  <c:v>1368</c:v>
                </c:pt>
                <c:pt idx="11">
                  <c:v>1388</c:v>
                </c:pt>
                <c:pt idx="12">
                  <c:v>24579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F9D-4DA0-BFB1-8F0594DFA845}"/>
            </c:ext>
          </c:extLst>
        </c:ser>
        <c:ser>
          <c:idx val="1"/>
          <c:order val="3"/>
          <c:tx>
            <c:strRef>
              <c:f>'Viajeros entr evol mensu TF'!$M$161:$N$161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F9D-4DA0-BFB1-8F0594DFA84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F9D-4DA0-BFB1-8F0594DFA845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TF'!$M$163:$M$175</c:f>
              <c:numCache>
                <c:formatCode>#,##0</c:formatCode>
                <c:ptCount val="13"/>
                <c:pt idx="0">
                  <c:v>1563</c:v>
                </c:pt>
                <c:pt idx="1">
                  <c:v>2346</c:v>
                </c:pt>
                <c:pt idx="2">
                  <c:v>2000</c:v>
                </c:pt>
                <c:pt idx="3">
                  <c:v>2200</c:v>
                </c:pt>
                <c:pt idx="4">
                  <c:v>1698</c:v>
                </c:pt>
                <c:pt idx="5">
                  <c:v>1687</c:v>
                </c:pt>
                <c:pt idx="6">
                  <c:v>2124</c:v>
                </c:pt>
                <c:pt idx="7">
                  <c:v>2041</c:v>
                </c:pt>
                <c:pt idx="8">
                  <c:v>1642</c:v>
                </c:pt>
                <c:pt idx="12">
                  <c:v>17301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F9D-4DA0-BFB1-8F0594DFA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TF'!$C$161:$D$161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F9D-4DA0-BFB1-8F0594DFA84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TF'!$C$163:$C$175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1411</c:v>
                      </c:pt>
                      <c:pt idx="1">
                        <c:v>1560</c:v>
                      </c:pt>
                      <c:pt idx="2">
                        <c:v>592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877</c:v>
                      </c:pt>
                      <c:pt idx="8">
                        <c:v>256</c:v>
                      </c:pt>
                      <c:pt idx="9">
                        <c:v>841</c:v>
                      </c:pt>
                      <c:pt idx="10">
                        <c:v>60</c:v>
                      </c:pt>
                      <c:pt idx="11">
                        <c:v>767</c:v>
                      </c:pt>
                      <c:pt idx="12">
                        <c:v>6586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F9D-4DA0-BFB1-8F0594DFA84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TF'!$N$162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F9D-4DA0-BFB1-8F0594DFA84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F9D-4DA0-BFB1-8F0594DFA84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F9D-4DA0-BFB1-8F0594DFA84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F9D-4DA0-BFB1-8F0594DFA84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F9D-4DA0-BFB1-8F0594DFA84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F9D-4DA0-BFB1-8F0594DFA84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F9D-4DA0-BFB1-8F0594DFA84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F9D-4DA0-BFB1-8F0594DFA84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F9D-4DA0-BFB1-8F0594DFA84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F9D-4DA0-BFB1-8F0594DFA84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F9D-4DA0-BFB1-8F0594DFA84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F9D-4DA0-BFB1-8F0594DFA84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F9D-4DA0-BFB1-8F0594DFA845}"/>
              </c:ext>
            </c:extLst>
          </c:dPt>
          <c:cat>
            <c:strRef>
              <c:f>'Viajeros entr evol mensu TF'!$B$163:$B$174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TF'!$N$163:$N$175</c:f>
              <c:numCache>
                <c:formatCode>0.0%</c:formatCode>
                <c:ptCount val="13"/>
                <c:pt idx="0">
                  <c:v>6.3265306122449072E-2</c:v>
                </c:pt>
                <c:pt idx="1">
                  <c:v>0.14049586776859502</c:v>
                </c:pt>
                <c:pt idx="2">
                  <c:v>-0.18666124440829601</c:v>
                </c:pt>
                <c:pt idx="3">
                  <c:v>-0.30489731437598733</c:v>
                </c:pt>
                <c:pt idx="4">
                  <c:v>-0.3144933387161889</c:v>
                </c:pt>
                <c:pt idx="5">
                  <c:v>-1.689976689976691E-2</c:v>
                </c:pt>
                <c:pt idx="6">
                  <c:v>0.12262156448202965</c:v>
                </c:pt>
                <c:pt idx="7">
                  <c:v>-3.9529411764705924E-2</c:v>
                </c:pt>
                <c:pt idx="8">
                  <c:v>-1.5587529976019199E-2</c:v>
                </c:pt>
                <c:pt idx="12">
                  <c:v>-9.0808765568343053E-2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F9D-4DA0-BFB1-8F0594DFA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mun al'!$B$3</c:f>
          <c:strCache>
            <c:ptCount val="1"/>
            <c:pt idx="0">
              <c:v>Viajeros españoles entrados en los hoteles y apartamentos de Tenerife por municipio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727254388005181"/>
          <c:y val="0.16206612589429406"/>
          <c:w val="0.82272741511946601"/>
          <c:h val="0.40574969010543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españoles x mun al'!$G$5</c:f>
              <c:strCache>
                <c:ptCount val="1"/>
                <c:pt idx="0">
                  <c:v>acumulado septiembre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españoles x mun al'!$B$7:$B$16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españoles x mun al'!$G$7:$G$16</c:f>
              <c:numCache>
                <c:formatCode>#,##0</c:formatCode>
                <c:ptCount val="10"/>
                <c:pt idx="0">
                  <c:v>148781</c:v>
                </c:pt>
                <c:pt idx="1">
                  <c:v>94395</c:v>
                </c:pt>
                <c:pt idx="2">
                  <c:v>16405</c:v>
                </c:pt>
                <c:pt idx="3">
                  <c:v>277292</c:v>
                </c:pt>
                <c:pt idx="4">
                  <c:v>43389</c:v>
                </c:pt>
                <c:pt idx="5">
                  <c:v>108324</c:v>
                </c:pt>
                <c:pt idx="6">
                  <c:v>29860</c:v>
                </c:pt>
                <c:pt idx="7">
                  <c:v>26474</c:v>
                </c:pt>
                <c:pt idx="8">
                  <c:v>39183</c:v>
                </c:pt>
                <c:pt idx="9">
                  <c:v>46703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7E-4FBD-88F7-746939DD4A62}"/>
            </c:ext>
          </c:extLst>
        </c:ser>
        <c:ser>
          <c:idx val="1"/>
          <c:order val="1"/>
          <c:tx>
            <c:strRef>
              <c:f>'distribución españoles x mun al'!$K$5</c:f>
              <c:strCache>
                <c:ptCount val="1"/>
                <c:pt idx="0">
                  <c:v>acumulado septiembre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mun al'!$K$7:$K$16</c:f>
              <c:numCache>
                <c:formatCode>#,##0</c:formatCode>
                <c:ptCount val="10"/>
                <c:pt idx="0">
                  <c:v>132009</c:v>
                </c:pt>
                <c:pt idx="1">
                  <c:v>91109</c:v>
                </c:pt>
                <c:pt idx="2">
                  <c:v>8742</c:v>
                </c:pt>
                <c:pt idx="3">
                  <c:v>305825</c:v>
                </c:pt>
                <c:pt idx="4">
                  <c:v>40492</c:v>
                </c:pt>
                <c:pt idx="5">
                  <c:v>115851</c:v>
                </c:pt>
                <c:pt idx="6">
                  <c:v>26153</c:v>
                </c:pt>
                <c:pt idx="7">
                  <c:v>22996</c:v>
                </c:pt>
                <c:pt idx="8">
                  <c:v>48762</c:v>
                </c:pt>
                <c:pt idx="9">
                  <c:v>42965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7E-4FBD-88F7-746939DD4A62}"/>
            </c:ext>
          </c:extLst>
        </c:ser>
        <c:ser>
          <c:idx val="2"/>
          <c:order val="2"/>
          <c:tx>
            <c:strRef>
              <c:f>'distribución españoles x mun al'!$O$5</c:f>
              <c:strCache>
                <c:ptCount val="1"/>
                <c:pt idx="0">
                  <c:v>acumulado septiembre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mun al'!$O$7:$O$16</c:f>
              <c:numCache>
                <c:formatCode>#,##0</c:formatCode>
                <c:ptCount val="10"/>
                <c:pt idx="0">
                  <c:v>120234</c:v>
                </c:pt>
                <c:pt idx="1">
                  <c:v>93244</c:v>
                </c:pt>
                <c:pt idx="2">
                  <c:v>7080</c:v>
                </c:pt>
                <c:pt idx="3">
                  <c:v>321321</c:v>
                </c:pt>
                <c:pt idx="4">
                  <c:v>43451</c:v>
                </c:pt>
                <c:pt idx="5">
                  <c:v>132246</c:v>
                </c:pt>
                <c:pt idx="6">
                  <c:v>25265</c:v>
                </c:pt>
                <c:pt idx="7">
                  <c:v>26539</c:v>
                </c:pt>
                <c:pt idx="8">
                  <c:v>33672</c:v>
                </c:pt>
                <c:pt idx="9">
                  <c:v>42107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7E-4FBD-88F7-746939DD4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españoles x mun al'!$P$5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mun al'!$P$7:$P$16</c:f>
              <c:numCache>
                <c:formatCode>0.0%</c:formatCode>
                <c:ptCount val="10"/>
                <c:pt idx="0">
                  <c:v>-8.9198463741108514E-2</c:v>
                </c:pt>
                <c:pt idx="1">
                  <c:v>2.3433469799909901E-2</c:v>
                </c:pt>
                <c:pt idx="2">
                  <c:v>-0.19011667810569666</c:v>
                </c:pt>
                <c:pt idx="3">
                  <c:v>5.0669500531349554E-2</c:v>
                </c:pt>
                <c:pt idx="4">
                  <c:v>7.3076163192729471E-2</c:v>
                </c:pt>
                <c:pt idx="5">
                  <c:v>0.14151798430742946</c:v>
                </c:pt>
                <c:pt idx="6">
                  <c:v>-3.3954039689519377E-2</c:v>
                </c:pt>
                <c:pt idx="7">
                  <c:v>0.15407027309097243</c:v>
                </c:pt>
                <c:pt idx="8">
                  <c:v>-0.3094622862064722</c:v>
                </c:pt>
                <c:pt idx="9">
                  <c:v>-1.9969742813918279E-2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7E-4FBD-88F7-746939DD4A62}"/>
            </c:ext>
          </c:extLst>
        </c:ser>
        <c:ser>
          <c:idx val="6"/>
          <c:order val="4"/>
          <c:tx>
            <c:strRef>
              <c:f>'distribución españoles x mun al'!$T$5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mun al'!$T$7:$T$16</c:f>
              <c:numCache>
                <c:formatCode>0.0%</c:formatCode>
                <c:ptCount val="10"/>
                <c:pt idx="0">
                  <c:v>0.14226198857256445</c:v>
                </c:pt>
                <c:pt idx="1">
                  <c:v>0.11032716920721426</c:v>
                </c:pt>
                <c:pt idx="2">
                  <c:v>8.377121938002198E-3</c:v>
                </c:pt>
                <c:pt idx="3">
                  <c:v>0.38018999975152606</c:v>
                </c:pt>
                <c:pt idx="4">
                  <c:v>5.1411627871205297E-2</c:v>
                </c:pt>
                <c:pt idx="5">
                  <c:v>0.15647469884364953</c:v>
                </c:pt>
                <c:pt idx="6">
                  <c:v>2.9893783299947109E-2</c:v>
                </c:pt>
                <c:pt idx="7">
                  <c:v>3.1401191965062199E-2</c:v>
                </c:pt>
                <c:pt idx="8">
                  <c:v>3.9841023996668085E-2</c:v>
                </c:pt>
                <c:pt idx="9">
                  <c:v>4.9821394554160812E-2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87E-4FBD-88F7-746939DD4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 x munici'!$O$5</c:f>
          <c:strCache>
            <c:ptCount val="1"/>
            <c:pt idx="0">
              <c:v>acumulado septiembre 2025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3757176234101782"/>
          <c:y val="0.19060850703570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peninsula x munici'!$O$5</c:f>
              <c:strCache>
                <c:ptCount val="1"/>
                <c:pt idx="0">
                  <c:v>acumulado septiembre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3E1-4857-B6E0-B6E485C02A8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3E1-4857-B6E0-B6E485C02A8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3E1-4857-B6E0-B6E485C02A8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03E1-4857-B6E0-B6E485C02A8B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03E1-4857-B6E0-B6E485C02A8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3E1-4857-B6E0-B6E485C02A8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3E1-4857-B6E0-B6E485C02A8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3E1-4857-B6E0-B6E485C02A8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3E1-4857-B6E0-B6E485C02A8B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3E1-4857-B6E0-B6E485C02A8B}"/>
              </c:ext>
            </c:extLst>
          </c:dPt>
          <c:dLbls>
            <c:dLbl>
              <c:idx val="0"/>
              <c:layout>
                <c:manualLayout>
                  <c:x val="-7.5339122360884497E-2"/>
                  <c:y val="4.59714145008051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E1-4857-B6E0-B6E485C02A8B}"/>
                </c:ext>
              </c:extLst>
            </c:dLbl>
            <c:dLbl>
              <c:idx val="1"/>
              <c:layout>
                <c:manualLayout>
                  <c:x val="-9.3387190520987984E-2"/>
                  <c:y val="4.81960591187521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3E1-4857-B6E0-B6E485C02A8B}"/>
                </c:ext>
              </c:extLst>
            </c:dLbl>
            <c:dLbl>
              <c:idx val="2"/>
              <c:layout>
                <c:manualLayout>
                  <c:x val="-0.11098057931923191"/>
                  <c:y val="1.177616325717542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3E1-4857-B6E0-B6E485C02A8B}"/>
                </c:ext>
              </c:extLst>
            </c:dLbl>
            <c:dLbl>
              <c:idx val="3"/>
              <c:layout>
                <c:manualLayout>
                  <c:x val="-0.13331713361065792"/>
                  <c:y val="1.20034749697046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3E1-4857-B6E0-B6E485C02A8B}"/>
                </c:ext>
              </c:extLst>
            </c:dLbl>
            <c:dLbl>
              <c:idx val="4"/>
              <c:layout>
                <c:manualLayout>
                  <c:x val="1.1125366254599619E-2"/>
                  <c:y val="-4.83815383934351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3E1-4857-B6E0-B6E485C02A8B}"/>
                </c:ext>
              </c:extLst>
            </c:dLbl>
            <c:dLbl>
              <c:idx val="5"/>
              <c:layout>
                <c:manualLayout>
                  <c:x val="4.6608807014449298E-2"/>
                  <c:y val="-6.15330813795851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3E1-4857-B6E0-B6E485C02A8B}"/>
                </c:ext>
              </c:extLst>
            </c:dLbl>
            <c:dLbl>
              <c:idx val="6"/>
              <c:layout>
                <c:manualLayout>
                  <c:x val="9.1737743332696367E-2"/>
                  <c:y val="-0.1007623906463554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3E1-4857-B6E0-B6E485C02A8B}"/>
                </c:ext>
              </c:extLst>
            </c:dLbl>
            <c:dLbl>
              <c:idx val="7"/>
              <c:layout>
                <c:manualLayout>
                  <c:x val="0.12098099885836359"/>
                  <c:y val="-1.921990250164618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3E1-4857-B6E0-B6E485C02A8B}"/>
                </c:ext>
              </c:extLst>
            </c:dLbl>
            <c:dLbl>
              <c:idx val="8"/>
              <c:layout>
                <c:manualLayout>
                  <c:x val="0.16659745802158807"/>
                  <c:y val="3.23181035961509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3E1-4857-B6E0-B6E485C02A8B}"/>
                </c:ext>
              </c:extLst>
            </c:dLbl>
            <c:dLbl>
              <c:idx val="9"/>
              <c:layout>
                <c:manualLayout>
                  <c:x val="-5.8337222491707218E-2"/>
                  <c:y val="1.835979216582467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008261552331535"/>
                      <c:h val="0.165144061841180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03E1-4857-B6E0-B6E485C02A8B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'distribución peninsula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peninsula x munici'!$O$7:$O$16</c:f>
              <c:numCache>
                <c:formatCode>#,##0</c:formatCode>
                <c:ptCount val="10"/>
                <c:pt idx="0">
                  <c:v>63882</c:v>
                </c:pt>
                <c:pt idx="1">
                  <c:v>51981</c:v>
                </c:pt>
                <c:pt idx="2">
                  <c:v>2925</c:v>
                </c:pt>
                <c:pt idx="3">
                  <c:v>240443</c:v>
                </c:pt>
                <c:pt idx="4">
                  <c:v>27078</c:v>
                </c:pt>
                <c:pt idx="5">
                  <c:v>62014</c:v>
                </c:pt>
                <c:pt idx="6">
                  <c:v>16376</c:v>
                </c:pt>
                <c:pt idx="7">
                  <c:v>10248</c:v>
                </c:pt>
                <c:pt idx="8">
                  <c:v>21282</c:v>
                </c:pt>
                <c:pt idx="9">
                  <c:v>16133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03E1-4857-B6E0-B6E485C02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E0E-4779-AE40-38817342623B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0E-4779-AE40-38817342623B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E0E-4779-AE40-38817342623B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E0E-4779-AE40-38817342623B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E0E-4779-AE40-38817342623B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E0E-4779-AE40-38817342623B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E0E-4779-AE40-38817342623B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E0E-4779-AE40-38817342623B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E0E-4779-AE40-38817342623B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E0E-4779-AE40-3881734262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FE0E-4779-AE40-38817342623B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E0E-4779-AE40-38817342623B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E0E-4779-AE40-38817342623B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E0E-4779-AE40-38817342623B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E0E-4779-AE40-3881734262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FE0E-4779-AE40-38817342623B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FE0E-4779-AE40-38817342623B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E0E-4779-AE40-38817342623B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E0E-4779-AE40-38817342623B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E0E-4779-AE40-38817342623B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E0E-4779-AE40-38817342623B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E0E-4779-AE40-38817342623B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E0E-4779-AE40-38817342623B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E0E-4779-AE40-38817342623B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E0E-4779-AE40-38817342623B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E0E-4779-AE40-38817342623B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E0E-4779-AE40-38817342623B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E0E-4779-AE40-38817342623B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FE0E-4779-AE40-38817342623B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FE0E-4779-AE40-38817342623B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FE0E-4779-AE40-38817342623B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FE0E-4779-AE40-38817342623B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FE0E-4779-AE40-38817342623B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FE0E-4779-AE40-38817342623B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FE0E-4779-AE40-38817342623B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FE0E-4779-AE40-38817342623B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FE0E-4779-AE40-38817342623B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FE0E-4779-AE40-38817342623B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FE0E-4779-AE40-38817342623B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FE0E-4779-AE40-38817342623B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FE0E-4779-AE40-38817342623B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FE0E-4779-AE40-38817342623B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FE0E-4779-AE40-38817342623B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FE0E-4779-AE40-38817342623B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FE0E-4779-AE40-38817342623B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FE0E-4779-AE40-38817342623B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FE0E-4779-AE40-38817342623B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FE0E-4779-AE40-38817342623B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FE0E-4779-AE40-38817342623B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FE0E-4779-AE40-38817342623B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FE0E-4779-AE40-38817342623B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FE0E-4779-AE40-38817342623B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FE0E-4779-AE40-38817342623B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FE0E-4779-AE40-38817342623B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FE0E-4779-AE40-38817342623B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FE0E-4779-AE40-38817342623B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FE0E-4779-AE40-38817342623B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FE0E-4779-AE40-38817342623B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FE0E-4779-AE40-38817342623B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FE0E-4779-AE40-38817342623B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FE0E-4779-AE40-38817342623B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FE0E-4779-AE40-38817342623B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FE0E-4779-AE40-38817342623B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FE0E-4779-AE40-38817342623B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FE0E-4779-AE40-38817342623B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FE0E-4779-AE40-38817342623B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FE0E-4779-AE40-38817342623B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FE0E-4779-AE40-38817342623B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FE0E-4779-AE40-38817342623B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FE0E-4779-AE40-38817342623B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FE0E-4779-AE40-38817342623B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FE0E-4779-AE40-38817342623B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FE0E-4779-AE40-38817342623B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FE0E-4779-AE40-38817342623B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FE0E-4779-AE40-38817342623B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FE0E-4779-AE40-38817342623B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FE0E-4779-AE40-38817342623B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FE0E-4779-AE40-38817342623B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FE0E-4779-AE40-38817342623B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FE0E-4779-AE40-38817342623B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FE0E-4779-AE40-38817342623B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FE0E-4779-AE40-38817342623B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FE0E-4779-AE40-38817342623B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FE0E-4779-AE40-388173426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 x munici'!$B$3</c:f>
          <c:strCache>
            <c:ptCount val="1"/>
            <c:pt idx="0">
              <c:v>Viajeros peninsulares entrados en los hoteles y apartamentos de Tenerife por municipio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727254388005181"/>
          <c:y val="0.16206612589429406"/>
          <c:w val="0.82272741511946601"/>
          <c:h val="0.40574969010543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peninsula x munici'!$G$5</c:f>
              <c:strCache>
                <c:ptCount val="1"/>
                <c:pt idx="0">
                  <c:v>acumulado septiembre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peninsula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peninsula x munici'!$G$7:$G$16</c:f>
              <c:numCache>
                <c:formatCode>#,##0</c:formatCode>
                <c:ptCount val="10"/>
                <c:pt idx="0">
                  <c:v>85390</c:v>
                </c:pt>
                <c:pt idx="1">
                  <c:v>52383</c:v>
                </c:pt>
                <c:pt idx="2">
                  <c:v>4123</c:v>
                </c:pt>
                <c:pt idx="3">
                  <c:v>201213</c:v>
                </c:pt>
                <c:pt idx="4">
                  <c:v>26621</c:v>
                </c:pt>
                <c:pt idx="5">
                  <c:v>59509</c:v>
                </c:pt>
                <c:pt idx="6">
                  <c:v>20325</c:v>
                </c:pt>
                <c:pt idx="7">
                  <c:v>9010</c:v>
                </c:pt>
                <c:pt idx="8">
                  <c:v>10712</c:v>
                </c:pt>
                <c:pt idx="9">
                  <c:v>12728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30-4282-A279-4D667DAFD624}"/>
            </c:ext>
          </c:extLst>
        </c:ser>
        <c:ser>
          <c:idx val="1"/>
          <c:order val="1"/>
          <c:tx>
            <c:strRef>
              <c:f>'distribución peninsula x munici'!$K$5</c:f>
              <c:strCache>
                <c:ptCount val="1"/>
                <c:pt idx="0">
                  <c:v>acumulado septiembre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 x munici'!$K$7:$K$16</c:f>
              <c:numCache>
                <c:formatCode>#,##0</c:formatCode>
                <c:ptCount val="10"/>
                <c:pt idx="0">
                  <c:v>81243</c:v>
                </c:pt>
                <c:pt idx="1">
                  <c:v>49661</c:v>
                </c:pt>
                <c:pt idx="2">
                  <c:v>2811</c:v>
                </c:pt>
                <c:pt idx="3">
                  <c:v>219443</c:v>
                </c:pt>
                <c:pt idx="4">
                  <c:v>27150</c:v>
                </c:pt>
                <c:pt idx="5">
                  <c:v>58416</c:v>
                </c:pt>
                <c:pt idx="6">
                  <c:v>17951</c:v>
                </c:pt>
                <c:pt idx="7">
                  <c:v>7991</c:v>
                </c:pt>
                <c:pt idx="8">
                  <c:v>17927</c:v>
                </c:pt>
                <c:pt idx="9">
                  <c:v>14118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30-4282-A279-4D667DAFD624}"/>
            </c:ext>
          </c:extLst>
        </c:ser>
        <c:ser>
          <c:idx val="2"/>
          <c:order val="2"/>
          <c:tx>
            <c:strRef>
              <c:f>'distribución peninsula x munici'!$O$5</c:f>
              <c:strCache>
                <c:ptCount val="1"/>
                <c:pt idx="0">
                  <c:v>acumulado septiembre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 x munici'!$O$7:$O$16</c:f>
              <c:numCache>
                <c:formatCode>#,##0</c:formatCode>
                <c:ptCount val="10"/>
                <c:pt idx="0">
                  <c:v>63882</c:v>
                </c:pt>
                <c:pt idx="1">
                  <c:v>51981</c:v>
                </c:pt>
                <c:pt idx="2">
                  <c:v>2925</c:v>
                </c:pt>
                <c:pt idx="3">
                  <c:v>240443</c:v>
                </c:pt>
                <c:pt idx="4">
                  <c:v>27078</c:v>
                </c:pt>
                <c:pt idx="5">
                  <c:v>62014</c:v>
                </c:pt>
                <c:pt idx="6">
                  <c:v>16376</c:v>
                </c:pt>
                <c:pt idx="7">
                  <c:v>10248</c:v>
                </c:pt>
                <c:pt idx="8">
                  <c:v>21282</c:v>
                </c:pt>
                <c:pt idx="9">
                  <c:v>16133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30-4282-A279-4D667DAFD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peninsula x munici'!$P$5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 x munici'!$P$7:$P$16</c:f>
              <c:numCache>
                <c:formatCode>0.0%</c:formatCode>
                <c:ptCount val="10"/>
                <c:pt idx="0">
                  <c:v>-0.21369225656364244</c:v>
                </c:pt>
                <c:pt idx="1">
                  <c:v>4.6716739493767756E-2</c:v>
                </c:pt>
                <c:pt idx="2">
                  <c:v>4.0554962646744963E-2</c:v>
                </c:pt>
                <c:pt idx="3">
                  <c:v>9.5696832434846391E-2</c:v>
                </c:pt>
                <c:pt idx="4">
                  <c:v>-2.6519337016575051E-3</c:v>
                </c:pt>
                <c:pt idx="5">
                  <c:v>6.1592714324842479E-2</c:v>
                </c:pt>
                <c:pt idx="6">
                  <c:v>-8.7738844632610946E-2</c:v>
                </c:pt>
                <c:pt idx="7">
                  <c:v>0.28244274809160297</c:v>
                </c:pt>
                <c:pt idx="8">
                  <c:v>0.18714787750320738</c:v>
                </c:pt>
                <c:pt idx="9">
                  <c:v>0.14272559852670352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30-4282-A279-4D667DAFD624}"/>
            </c:ext>
          </c:extLst>
        </c:ser>
        <c:ser>
          <c:idx val="6"/>
          <c:order val="4"/>
          <c:tx>
            <c:strRef>
              <c:f>'distribución peninsula x munici'!$T$5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 x munici'!$T$7:$T$16</c:f>
              <c:numCache>
                <c:formatCode>0.0%</c:formatCode>
                <c:ptCount val="10"/>
                <c:pt idx="0">
                  <c:v>0.12468137761972981</c:v>
                </c:pt>
                <c:pt idx="1">
                  <c:v>0.1014536597171531</c:v>
                </c:pt>
                <c:pt idx="2">
                  <c:v>5.7088542866176647E-3</c:v>
                </c:pt>
                <c:pt idx="3">
                  <c:v>0.46928343632041408</c:v>
                </c:pt>
                <c:pt idx="4">
                  <c:v>5.2849352606165169E-2</c:v>
                </c:pt>
                <c:pt idx="5">
                  <c:v>0.12103551785651551</c:v>
                </c:pt>
                <c:pt idx="6">
                  <c:v>3.1961777024837906E-2</c:v>
                </c:pt>
                <c:pt idx="7">
                  <c:v>2.0001483326241992E-2</c:v>
                </c:pt>
                <c:pt idx="8">
                  <c:v>4.1537038265913553E-2</c:v>
                </c:pt>
                <c:pt idx="9">
                  <c:v>3.1487502976411209E-2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F30-4282-A279-4D667DAFD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canarias x munici'!$O$5</c:f>
          <c:strCache>
            <c:ptCount val="1"/>
            <c:pt idx="0">
              <c:v>acumulado septiembre 2025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3757176234101782"/>
          <c:y val="0.19060850703570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canarias x munici'!$O$5</c:f>
              <c:strCache>
                <c:ptCount val="1"/>
                <c:pt idx="0">
                  <c:v>acumulado septiembre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AB9-4793-A178-DF997DF60E3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AB9-4793-A178-DF997DF60E3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AB9-4793-A178-DF997DF60E3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AB9-4793-A178-DF997DF60E38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AAB9-4793-A178-DF997DF60E3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AB9-4793-A178-DF997DF60E3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AB9-4793-A178-DF997DF60E3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AAB9-4793-A178-DF997DF60E3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AAB9-4793-A178-DF997DF60E38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AAB9-4793-A178-DF997DF60E38}"/>
              </c:ext>
            </c:extLst>
          </c:dPt>
          <c:dLbls>
            <c:dLbl>
              <c:idx val="0"/>
              <c:layout>
                <c:manualLayout>
                  <c:x val="-7.5339122360884497E-2"/>
                  <c:y val="4.59714145008051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B9-4793-A178-DF997DF60E38}"/>
                </c:ext>
              </c:extLst>
            </c:dLbl>
            <c:dLbl>
              <c:idx val="1"/>
              <c:layout>
                <c:manualLayout>
                  <c:x val="-9.3387190520987984E-2"/>
                  <c:y val="4.81960591187521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B9-4793-A178-DF997DF60E38}"/>
                </c:ext>
              </c:extLst>
            </c:dLbl>
            <c:dLbl>
              <c:idx val="2"/>
              <c:layout>
                <c:manualLayout>
                  <c:x val="-0.11098057931923191"/>
                  <c:y val="1.177616325717542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B9-4793-A178-DF997DF60E38}"/>
                </c:ext>
              </c:extLst>
            </c:dLbl>
            <c:dLbl>
              <c:idx val="3"/>
              <c:layout>
                <c:manualLayout>
                  <c:x val="-0.13331713361065792"/>
                  <c:y val="1.20034749697046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AB9-4793-A178-DF997DF60E38}"/>
                </c:ext>
              </c:extLst>
            </c:dLbl>
            <c:dLbl>
              <c:idx val="4"/>
              <c:layout>
                <c:manualLayout>
                  <c:x val="1.1125366254599619E-2"/>
                  <c:y val="-4.83815383934351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AB9-4793-A178-DF997DF60E38}"/>
                </c:ext>
              </c:extLst>
            </c:dLbl>
            <c:dLbl>
              <c:idx val="5"/>
              <c:layout>
                <c:manualLayout>
                  <c:x val="4.6608807014449298E-2"/>
                  <c:y val="-6.15330813795851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AB9-4793-A178-DF997DF60E38}"/>
                </c:ext>
              </c:extLst>
            </c:dLbl>
            <c:dLbl>
              <c:idx val="6"/>
              <c:layout>
                <c:manualLayout>
                  <c:x val="9.1737743332696367E-2"/>
                  <c:y val="-0.1007623906463554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AB9-4793-A178-DF997DF60E38}"/>
                </c:ext>
              </c:extLst>
            </c:dLbl>
            <c:dLbl>
              <c:idx val="7"/>
              <c:layout>
                <c:manualLayout>
                  <c:x val="0.12098099885836359"/>
                  <c:y val="-1.921990250164618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AB9-4793-A178-DF997DF60E38}"/>
                </c:ext>
              </c:extLst>
            </c:dLbl>
            <c:dLbl>
              <c:idx val="8"/>
              <c:layout>
                <c:manualLayout>
                  <c:x val="0.16659745802158807"/>
                  <c:y val="3.23181035961509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AB9-4793-A178-DF997DF60E38}"/>
                </c:ext>
              </c:extLst>
            </c:dLbl>
            <c:dLbl>
              <c:idx val="9"/>
              <c:layout>
                <c:manualLayout>
                  <c:x val="-5.8337222491707218E-2"/>
                  <c:y val="1.835979216582467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008261552331535"/>
                      <c:h val="0.165144061841180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AAB9-4793-A178-DF997DF60E38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'distribución canarias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canarias x munici'!$O$7:$O$16</c:f>
              <c:numCache>
                <c:formatCode>#,##0</c:formatCode>
                <c:ptCount val="10"/>
                <c:pt idx="0">
                  <c:v>56352</c:v>
                </c:pt>
                <c:pt idx="1">
                  <c:v>41263</c:v>
                </c:pt>
                <c:pt idx="2">
                  <c:v>4155</c:v>
                </c:pt>
                <c:pt idx="3">
                  <c:v>80878</c:v>
                </c:pt>
                <c:pt idx="4">
                  <c:v>16373</c:v>
                </c:pt>
                <c:pt idx="5">
                  <c:v>70232</c:v>
                </c:pt>
                <c:pt idx="6">
                  <c:v>8889</c:v>
                </c:pt>
                <c:pt idx="7">
                  <c:v>16291</c:v>
                </c:pt>
                <c:pt idx="8">
                  <c:v>12390</c:v>
                </c:pt>
                <c:pt idx="9">
                  <c:v>25974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AB9-4793-A178-DF997DF60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021-4605-B7BF-0A9D4A6E29DA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21-4605-B7BF-0A9D4A6E29DA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021-4605-B7BF-0A9D4A6E29DA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021-4605-B7BF-0A9D4A6E29DA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021-4605-B7BF-0A9D4A6E29DA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021-4605-B7BF-0A9D4A6E29DA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21-4605-B7BF-0A9D4A6E29DA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021-4605-B7BF-0A9D4A6E29DA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021-4605-B7BF-0A9D4A6E29DA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021-4605-B7BF-0A9D4A6E29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0021-4605-B7BF-0A9D4A6E29DA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021-4605-B7BF-0A9D4A6E29DA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021-4605-B7BF-0A9D4A6E29DA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021-4605-B7BF-0A9D4A6E29DA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021-4605-B7BF-0A9D4A6E29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0021-4605-B7BF-0A9D4A6E29DA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0021-4605-B7BF-0A9D4A6E29DA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021-4605-B7BF-0A9D4A6E29DA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021-4605-B7BF-0A9D4A6E29DA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021-4605-B7BF-0A9D4A6E29DA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021-4605-B7BF-0A9D4A6E29DA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021-4605-B7BF-0A9D4A6E29DA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021-4605-B7BF-0A9D4A6E29DA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021-4605-B7BF-0A9D4A6E29DA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021-4605-B7BF-0A9D4A6E29DA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021-4605-B7BF-0A9D4A6E29DA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021-4605-B7BF-0A9D4A6E29DA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0021-4605-B7BF-0A9D4A6E29DA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0021-4605-B7BF-0A9D4A6E29DA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0021-4605-B7BF-0A9D4A6E29DA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0021-4605-B7BF-0A9D4A6E29DA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0021-4605-B7BF-0A9D4A6E29DA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0021-4605-B7BF-0A9D4A6E29DA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0021-4605-B7BF-0A9D4A6E29DA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0021-4605-B7BF-0A9D4A6E29DA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0021-4605-B7BF-0A9D4A6E29DA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0021-4605-B7BF-0A9D4A6E29DA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0021-4605-B7BF-0A9D4A6E29DA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0021-4605-B7BF-0A9D4A6E29DA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0021-4605-B7BF-0A9D4A6E29DA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0021-4605-B7BF-0A9D4A6E29DA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0021-4605-B7BF-0A9D4A6E29DA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0021-4605-B7BF-0A9D4A6E29DA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0021-4605-B7BF-0A9D4A6E29DA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0021-4605-B7BF-0A9D4A6E29DA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0021-4605-B7BF-0A9D4A6E29DA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0021-4605-B7BF-0A9D4A6E29DA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0021-4605-B7BF-0A9D4A6E29DA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0021-4605-B7BF-0A9D4A6E29DA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0021-4605-B7BF-0A9D4A6E29DA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0021-4605-B7BF-0A9D4A6E29DA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0021-4605-B7BF-0A9D4A6E29DA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0021-4605-B7BF-0A9D4A6E29DA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0021-4605-B7BF-0A9D4A6E29DA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0021-4605-B7BF-0A9D4A6E29DA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0021-4605-B7BF-0A9D4A6E29DA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0021-4605-B7BF-0A9D4A6E29DA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0021-4605-B7BF-0A9D4A6E29DA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0021-4605-B7BF-0A9D4A6E29DA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0021-4605-B7BF-0A9D4A6E29DA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0021-4605-B7BF-0A9D4A6E29DA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0021-4605-B7BF-0A9D4A6E29DA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0021-4605-B7BF-0A9D4A6E29DA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0021-4605-B7BF-0A9D4A6E29DA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0021-4605-B7BF-0A9D4A6E29DA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0021-4605-B7BF-0A9D4A6E29DA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0021-4605-B7BF-0A9D4A6E29DA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0021-4605-B7BF-0A9D4A6E29DA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0021-4605-B7BF-0A9D4A6E29DA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0021-4605-B7BF-0A9D4A6E29DA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0021-4605-B7BF-0A9D4A6E29DA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0021-4605-B7BF-0A9D4A6E29DA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0021-4605-B7BF-0A9D4A6E29DA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0021-4605-B7BF-0A9D4A6E29DA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0021-4605-B7BF-0A9D4A6E29DA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0021-4605-B7BF-0A9D4A6E29DA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0021-4605-B7BF-0A9D4A6E29DA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0021-4605-B7BF-0A9D4A6E29DA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0021-4605-B7BF-0A9D4A6E29DA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0021-4605-B7BF-0A9D4A6E29DA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0021-4605-B7BF-0A9D4A6E29DA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0021-4605-B7BF-0A9D4A6E29DA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0021-4605-B7BF-0A9D4A6E29DA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0021-4605-B7BF-0A9D4A6E2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canarias x munici'!$B$3</c:f>
          <c:strCache>
            <c:ptCount val="1"/>
            <c:pt idx="0">
              <c:v>Viajeros canarios entrados en los hoteles y apartamentos de Tenerife por municipio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727254388005181"/>
          <c:y val="0.16206612589429406"/>
          <c:w val="0.82272741511946601"/>
          <c:h val="0.40574969010543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canarias x munici'!$G$5</c:f>
              <c:strCache>
                <c:ptCount val="1"/>
                <c:pt idx="0">
                  <c:v>acumulado septiembre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canarias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canarias x munici'!$G$7:$G$16</c:f>
              <c:numCache>
                <c:formatCode>#,##0</c:formatCode>
                <c:ptCount val="10"/>
                <c:pt idx="0">
                  <c:v>63391</c:v>
                </c:pt>
                <c:pt idx="1">
                  <c:v>42012</c:v>
                </c:pt>
                <c:pt idx="2">
                  <c:v>12282</c:v>
                </c:pt>
                <c:pt idx="3">
                  <c:v>76079</c:v>
                </c:pt>
                <c:pt idx="4">
                  <c:v>16768</c:v>
                </c:pt>
                <c:pt idx="5">
                  <c:v>48815</c:v>
                </c:pt>
                <c:pt idx="6">
                  <c:v>9535</c:v>
                </c:pt>
                <c:pt idx="7">
                  <c:v>17464</c:v>
                </c:pt>
                <c:pt idx="8">
                  <c:v>28471</c:v>
                </c:pt>
                <c:pt idx="9">
                  <c:v>33975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78-45B8-86A7-C71CA9AAF805}"/>
            </c:ext>
          </c:extLst>
        </c:ser>
        <c:ser>
          <c:idx val="1"/>
          <c:order val="1"/>
          <c:tx>
            <c:strRef>
              <c:f>'distribución canarias x munici'!$K$5</c:f>
              <c:strCache>
                <c:ptCount val="1"/>
                <c:pt idx="0">
                  <c:v>acumulado septiembre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canarias x munici'!$K$7:$K$16</c:f>
              <c:numCache>
                <c:formatCode>#,##0</c:formatCode>
                <c:ptCount val="10"/>
                <c:pt idx="0">
                  <c:v>50766</c:v>
                </c:pt>
                <c:pt idx="1">
                  <c:v>41448</c:v>
                </c:pt>
                <c:pt idx="2">
                  <c:v>5931</c:v>
                </c:pt>
                <c:pt idx="3">
                  <c:v>86382</c:v>
                </c:pt>
                <c:pt idx="4">
                  <c:v>13342</c:v>
                </c:pt>
                <c:pt idx="5">
                  <c:v>57435</c:v>
                </c:pt>
                <c:pt idx="6">
                  <c:v>8202</c:v>
                </c:pt>
                <c:pt idx="7">
                  <c:v>15005</c:v>
                </c:pt>
                <c:pt idx="8">
                  <c:v>30835</c:v>
                </c:pt>
                <c:pt idx="9">
                  <c:v>28847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78-45B8-86A7-C71CA9AAF805}"/>
            </c:ext>
          </c:extLst>
        </c:ser>
        <c:ser>
          <c:idx val="2"/>
          <c:order val="2"/>
          <c:tx>
            <c:strRef>
              <c:f>'distribución canarias x munici'!$O$5</c:f>
              <c:strCache>
                <c:ptCount val="1"/>
                <c:pt idx="0">
                  <c:v>acumulado septiembre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canarias x munici'!$O$7:$O$16</c:f>
              <c:numCache>
                <c:formatCode>#,##0</c:formatCode>
                <c:ptCount val="10"/>
                <c:pt idx="0">
                  <c:v>56352</c:v>
                </c:pt>
                <c:pt idx="1">
                  <c:v>41263</c:v>
                </c:pt>
                <c:pt idx="2">
                  <c:v>4155</c:v>
                </c:pt>
                <c:pt idx="3">
                  <c:v>80878</c:v>
                </c:pt>
                <c:pt idx="4">
                  <c:v>16373</c:v>
                </c:pt>
                <c:pt idx="5">
                  <c:v>70232</c:v>
                </c:pt>
                <c:pt idx="6">
                  <c:v>8889</c:v>
                </c:pt>
                <c:pt idx="7">
                  <c:v>16291</c:v>
                </c:pt>
                <c:pt idx="8">
                  <c:v>12390</c:v>
                </c:pt>
                <c:pt idx="9">
                  <c:v>25974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78-45B8-86A7-C71CA9AAF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canarias x munici'!$P$5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canarias x munici'!$P$7:$P$16</c:f>
              <c:numCache>
                <c:formatCode>0.0%</c:formatCode>
                <c:ptCount val="10"/>
                <c:pt idx="0">
                  <c:v>0.11003427490840334</c:v>
                </c:pt>
                <c:pt idx="1">
                  <c:v>-4.4634240494113575E-3</c:v>
                </c:pt>
                <c:pt idx="2">
                  <c:v>-0.29944360141628734</c:v>
                </c:pt>
                <c:pt idx="3">
                  <c:v>-6.3716978074135788E-2</c:v>
                </c:pt>
                <c:pt idx="4">
                  <c:v>0.22717733473242396</c:v>
                </c:pt>
                <c:pt idx="5">
                  <c:v>0.22280839209541226</c:v>
                </c:pt>
                <c:pt idx="6">
                  <c:v>8.376005852231172E-2</c:v>
                </c:pt>
                <c:pt idx="7">
                  <c:v>8.5704765078307155E-2</c:v>
                </c:pt>
                <c:pt idx="8">
                  <c:v>-0.59818388195232686</c:v>
                </c:pt>
                <c:pt idx="9">
                  <c:v>-9.9594411897251045E-2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C78-45B8-86A7-C71CA9AAF805}"/>
            </c:ext>
          </c:extLst>
        </c:ser>
        <c:ser>
          <c:idx val="6"/>
          <c:order val="4"/>
          <c:tx>
            <c:strRef>
              <c:f>'distribución canarias x munici'!$T$5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canarias x munici'!$T$7:$T$16</c:f>
              <c:numCache>
                <c:formatCode>0.0%</c:formatCode>
                <c:ptCount val="10"/>
                <c:pt idx="0">
                  <c:v>0.16932844947520562</c:v>
                </c:pt>
                <c:pt idx="1">
                  <c:v>0.12398849749246538</c:v>
                </c:pt>
                <c:pt idx="2">
                  <c:v>1.2485088507408421E-2</c:v>
                </c:pt>
                <c:pt idx="3">
                  <c:v>0.24302502726887562</c:v>
                </c:pt>
                <c:pt idx="4">
                  <c:v>4.9198159839181244E-2</c:v>
                </c:pt>
                <c:pt idx="5">
                  <c:v>0.2110355562099418</c:v>
                </c:pt>
                <c:pt idx="6">
                  <c:v>2.6709976351950288E-2</c:v>
                </c:pt>
                <c:pt idx="7">
                  <c:v>4.8951763387290147E-2</c:v>
                </c:pt>
                <c:pt idx="8">
                  <c:v>3.7229902913788283E-2</c:v>
                </c:pt>
                <c:pt idx="9">
                  <c:v>7.8047578553893215E-2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C78-45B8-86A7-C71CA9AAF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'evolución anual viaj ent españo'!$B$8:$B$22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españo'!$C$8:$C$22</c:f>
              <c:numCache>
                <c:formatCode>#,##0</c:formatCode>
                <c:ptCount val="15"/>
                <c:pt idx="0">
                  <c:v>29188</c:v>
                </c:pt>
                <c:pt idx="1">
                  <c:v>32018</c:v>
                </c:pt>
                <c:pt idx="2">
                  <c:v>29061</c:v>
                </c:pt>
                <c:pt idx="3">
                  <c:v>45216</c:v>
                </c:pt>
                <c:pt idx="4">
                  <c:v>26839</c:v>
                </c:pt>
                <c:pt idx="5">
                  <c:v>45577</c:v>
                </c:pt>
                <c:pt idx="6">
                  <c:v>51968</c:v>
                </c:pt>
                <c:pt idx="7">
                  <c:v>41168</c:v>
                </c:pt>
                <c:pt idx="8">
                  <c:v>40703</c:v>
                </c:pt>
                <c:pt idx="9">
                  <c:v>41003</c:v>
                </c:pt>
                <c:pt idx="10">
                  <c:v>46267</c:v>
                </c:pt>
                <c:pt idx="11">
                  <c:v>38322</c:v>
                </c:pt>
                <c:pt idx="12">
                  <c:v>41405</c:v>
                </c:pt>
                <c:pt idx="13">
                  <c:v>37942</c:v>
                </c:pt>
                <c:pt idx="14">
                  <c:v>53633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5A-4677-91DA-9459C2D32C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'evolución anual viaj ent españo'!$D$7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'evolución anual viaj ent españo'!$B$8:$B$22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españo'!$D$8:$D$22</c:f>
              <c:numCache>
                <c:formatCode>0.0%</c:formatCode>
                <c:ptCount val="15"/>
                <c:pt idx="0">
                  <c:v>-8.838778187269658E-2</c:v>
                </c:pt>
                <c:pt idx="1">
                  <c:v>0.10175148824885594</c:v>
                </c:pt>
                <c:pt idx="2">
                  <c:v>-0.35728503184713378</c:v>
                </c:pt>
                <c:pt idx="3">
                  <c:v>0.68471254517679503</c:v>
                </c:pt>
                <c:pt idx="4">
                  <c:v>-0.41112842003642192</c:v>
                </c:pt>
                <c:pt idx="5">
                  <c:v>-0.12297952586206895</c:v>
                </c:pt>
                <c:pt idx="6">
                  <c:v>0.26233968130586871</c:v>
                </c:pt>
                <c:pt idx="7">
                  <c:v>1.1424219345011366E-2</c:v>
                </c:pt>
                <c:pt idx="8">
                  <c:v>-7.3165378143063009E-3</c:v>
                </c:pt>
                <c:pt idx="9">
                  <c:v>-0.11377439643806597</c:v>
                </c:pt>
                <c:pt idx="10">
                  <c:v>0.20732216481394494</c:v>
                </c:pt>
                <c:pt idx="11">
                  <c:v>-7.4459606327738181E-2</c:v>
                </c:pt>
                <c:pt idx="12">
                  <c:v>9.1270887143534818E-2</c:v>
                </c:pt>
                <c:pt idx="13">
                  <c:v>-0.2925624149311058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5A-4677-91DA-9459C2D32C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'evolución anual viaj ent penins'!$B$8:$B$22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penins'!$C$8:$C$22</c:f>
              <c:numCache>
                <c:formatCode>#,##0</c:formatCode>
                <c:ptCount val="15"/>
                <c:pt idx="0">
                  <c:v>10812</c:v>
                </c:pt>
                <c:pt idx="1">
                  <c:v>11280</c:v>
                </c:pt>
                <c:pt idx="2">
                  <c:v>9118</c:v>
                </c:pt>
                <c:pt idx="3">
                  <c:v>11021</c:v>
                </c:pt>
                <c:pt idx="4">
                  <c:v>6781</c:v>
                </c:pt>
                <c:pt idx="5">
                  <c:v>20687</c:v>
                </c:pt>
                <c:pt idx="6">
                  <c:v>15253</c:v>
                </c:pt>
                <c:pt idx="7">
                  <c:v>12335</c:v>
                </c:pt>
                <c:pt idx="8">
                  <c:v>11118</c:v>
                </c:pt>
                <c:pt idx="9">
                  <c:v>10682</c:v>
                </c:pt>
                <c:pt idx="10">
                  <c:v>13129</c:v>
                </c:pt>
                <c:pt idx="11">
                  <c:v>11148</c:v>
                </c:pt>
                <c:pt idx="12">
                  <c:v>22669</c:v>
                </c:pt>
                <c:pt idx="13">
                  <c:v>12886</c:v>
                </c:pt>
                <c:pt idx="14">
                  <c:v>6533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BC-440C-8CA7-E5019CE4C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'evolución anual viaj ent penins'!$D$7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'evolución anual viaj ent penins'!$B$8:$B$22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penins'!$D$8:$D$22</c:f>
              <c:numCache>
                <c:formatCode>0.0%</c:formatCode>
                <c:ptCount val="15"/>
                <c:pt idx="0">
                  <c:v>-4.1489361702127692E-2</c:v>
                </c:pt>
                <c:pt idx="1">
                  <c:v>0.23711340206185572</c:v>
                </c:pt>
                <c:pt idx="2">
                  <c:v>-0.17267035659196084</c:v>
                </c:pt>
                <c:pt idx="3">
                  <c:v>0.6252765078896918</c:v>
                </c:pt>
                <c:pt idx="4">
                  <c:v>-0.6722096002320298</c:v>
                </c:pt>
                <c:pt idx="5">
                  <c:v>0.35625778535370101</c:v>
                </c:pt>
                <c:pt idx="6">
                  <c:v>0.23656262667207129</c:v>
                </c:pt>
                <c:pt idx="7">
                  <c:v>0.10946213347724409</c:v>
                </c:pt>
                <c:pt idx="8">
                  <c:v>4.081632653061229E-2</c:v>
                </c:pt>
                <c:pt idx="9">
                  <c:v>-0.18638129332013098</c:v>
                </c:pt>
                <c:pt idx="10">
                  <c:v>0.17770003588087557</c:v>
                </c:pt>
                <c:pt idx="11">
                  <c:v>-0.50822709426970758</c:v>
                </c:pt>
                <c:pt idx="12">
                  <c:v>0.75919602669563857</c:v>
                </c:pt>
                <c:pt idx="13">
                  <c:v>0.97244757385580893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BC-440C-8CA7-E5019CE4C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'evolución anual viaj ent canari'!$B$8:$B$22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canari'!$C$8:$C$22</c:f>
              <c:numCache>
                <c:formatCode>#,##0</c:formatCode>
                <c:ptCount val="15"/>
                <c:pt idx="0">
                  <c:v>18376</c:v>
                </c:pt>
                <c:pt idx="1">
                  <c:v>20738</c:v>
                </c:pt>
                <c:pt idx="2">
                  <c:v>19943</c:v>
                </c:pt>
                <c:pt idx="3">
                  <c:v>34195</c:v>
                </c:pt>
                <c:pt idx="4">
                  <c:v>20058</c:v>
                </c:pt>
                <c:pt idx="5">
                  <c:v>24890</c:v>
                </c:pt>
                <c:pt idx="6">
                  <c:v>36715</c:v>
                </c:pt>
                <c:pt idx="7">
                  <c:v>28833</c:v>
                </c:pt>
                <c:pt idx="8">
                  <c:v>29585</c:v>
                </c:pt>
                <c:pt idx="9">
                  <c:v>30321</c:v>
                </c:pt>
                <c:pt idx="10">
                  <c:v>33138</c:v>
                </c:pt>
                <c:pt idx="11">
                  <c:v>27174</c:v>
                </c:pt>
                <c:pt idx="12">
                  <c:v>18736</c:v>
                </c:pt>
                <c:pt idx="13">
                  <c:v>25056</c:v>
                </c:pt>
                <c:pt idx="14">
                  <c:v>47100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A5-42B0-B9F9-A3C9042002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'evolución anual viaj ent canari'!$D$7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'evolución anual viaj ent canari'!$B$8:$B$22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canari'!$D$8:$D$22</c:f>
              <c:numCache>
                <c:formatCode>0.0%</c:formatCode>
                <c:ptCount val="15"/>
                <c:pt idx="0">
                  <c:v>-0.1138971935577201</c:v>
                </c:pt>
                <c:pt idx="1">
                  <c:v>3.9863611292182632E-2</c:v>
                </c:pt>
                <c:pt idx="2">
                  <c:v>-0.41678607983623339</c:v>
                </c:pt>
                <c:pt idx="3">
                  <c:v>0.70480606241898491</c:v>
                </c:pt>
                <c:pt idx="4">
                  <c:v>-0.1941341904379269</c:v>
                </c:pt>
                <c:pt idx="5">
                  <c:v>-0.32207544600299609</c:v>
                </c:pt>
                <c:pt idx="6">
                  <c:v>0.27336732216557413</c:v>
                </c:pt>
                <c:pt idx="7">
                  <c:v>-2.5418286293729886E-2</c:v>
                </c:pt>
                <c:pt idx="8">
                  <c:v>-2.4273605751789162E-2</c:v>
                </c:pt>
                <c:pt idx="9">
                  <c:v>-8.5008147745790352E-2</c:v>
                </c:pt>
                <c:pt idx="10">
                  <c:v>0.21947449768160743</c:v>
                </c:pt>
                <c:pt idx="11">
                  <c:v>0.45036293766011948</c:v>
                </c:pt>
                <c:pt idx="12">
                  <c:v>-0.2522349936143039</c:v>
                </c:pt>
                <c:pt idx="13">
                  <c:v>-0.46802547770700642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A5-42B0-B9F9-A3C9042002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TF'!$I$183:$J$183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E9A-4A80-A7F0-9C30744D2F29}"/>
              </c:ext>
            </c:extLst>
          </c:dPt>
          <c:val>
            <c:numRef>
              <c:f>'Viajeros entr evol mensu TF'!$I$185:$I$197</c:f>
              <c:numCache>
                <c:formatCode>#,##0</c:formatCode>
                <c:ptCount val="13"/>
                <c:pt idx="0">
                  <c:v>363</c:v>
                </c:pt>
                <c:pt idx="1">
                  <c:v>445</c:v>
                </c:pt>
                <c:pt idx="2">
                  <c:v>318</c:v>
                </c:pt>
                <c:pt idx="3">
                  <c:v>355</c:v>
                </c:pt>
                <c:pt idx="4">
                  <c:v>518</c:v>
                </c:pt>
                <c:pt idx="5">
                  <c:v>365</c:v>
                </c:pt>
                <c:pt idx="6">
                  <c:v>693</c:v>
                </c:pt>
                <c:pt idx="7">
                  <c:v>497</c:v>
                </c:pt>
                <c:pt idx="8">
                  <c:v>339</c:v>
                </c:pt>
                <c:pt idx="9">
                  <c:v>638</c:v>
                </c:pt>
                <c:pt idx="10">
                  <c:v>437</c:v>
                </c:pt>
                <c:pt idx="11">
                  <c:v>522</c:v>
                </c:pt>
                <c:pt idx="12">
                  <c:v>5490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9A-4A80-A7F0-9C30744D2F29}"/>
            </c:ext>
          </c:extLst>
        </c:ser>
        <c:ser>
          <c:idx val="0"/>
          <c:order val="2"/>
          <c:tx>
            <c:strRef>
              <c:f>'Viajeros entr evol mensu TF'!$K$183:$L$183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E9A-4A80-A7F0-9C30744D2F29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TF'!$K$185:$K$197</c:f>
              <c:numCache>
                <c:formatCode>#,##0</c:formatCode>
                <c:ptCount val="13"/>
                <c:pt idx="0">
                  <c:v>373</c:v>
                </c:pt>
                <c:pt idx="1">
                  <c:v>462</c:v>
                </c:pt>
                <c:pt idx="2">
                  <c:v>592</c:v>
                </c:pt>
                <c:pt idx="3">
                  <c:v>404</c:v>
                </c:pt>
                <c:pt idx="4">
                  <c:v>597</c:v>
                </c:pt>
                <c:pt idx="5">
                  <c:v>533</c:v>
                </c:pt>
                <c:pt idx="6">
                  <c:v>628</c:v>
                </c:pt>
                <c:pt idx="7">
                  <c:v>486</c:v>
                </c:pt>
                <c:pt idx="8">
                  <c:v>217</c:v>
                </c:pt>
                <c:pt idx="9">
                  <c:v>350</c:v>
                </c:pt>
                <c:pt idx="10">
                  <c:v>424</c:v>
                </c:pt>
                <c:pt idx="11">
                  <c:v>497</c:v>
                </c:pt>
                <c:pt idx="12">
                  <c:v>5563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E9A-4A80-A7F0-9C30744D2F29}"/>
            </c:ext>
          </c:extLst>
        </c:ser>
        <c:ser>
          <c:idx val="1"/>
          <c:order val="3"/>
          <c:tx>
            <c:strRef>
              <c:f>'Viajeros entr evol mensu TF'!$M$183:$N$183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E9A-4A80-A7F0-9C30744D2F2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E9A-4A80-A7F0-9C30744D2F29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TF'!$M$185:$M$197</c:f>
              <c:numCache>
                <c:formatCode>#,##0</c:formatCode>
                <c:ptCount val="13"/>
                <c:pt idx="0">
                  <c:v>326</c:v>
                </c:pt>
                <c:pt idx="1">
                  <c:v>351</c:v>
                </c:pt>
                <c:pt idx="2">
                  <c:v>381</c:v>
                </c:pt>
                <c:pt idx="3">
                  <c:v>569</c:v>
                </c:pt>
                <c:pt idx="4">
                  <c:v>211</c:v>
                </c:pt>
                <c:pt idx="5">
                  <c:v>304</c:v>
                </c:pt>
                <c:pt idx="6">
                  <c:v>554</c:v>
                </c:pt>
                <c:pt idx="7">
                  <c:v>299</c:v>
                </c:pt>
                <c:pt idx="8">
                  <c:v>205</c:v>
                </c:pt>
                <c:pt idx="12">
                  <c:v>3200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E9A-4A80-A7F0-9C30744D2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TF'!$C$183:$D$183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E9A-4A80-A7F0-9C30744D2F2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TF'!$C$185:$C$197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313</c:v>
                      </c:pt>
                      <c:pt idx="1">
                        <c:v>321</c:v>
                      </c:pt>
                      <c:pt idx="2">
                        <c:v>227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538</c:v>
                      </c:pt>
                      <c:pt idx="8">
                        <c:v>168</c:v>
                      </c:pt>
                      <c:pt idx="9">
                        <c:v>84</c:v>
                      </c:pt>
                      <c:pt idx="10">
                        <c:v>72</c:v>
                      </c:pt>
                      <c:pt idx="11">
                        <c:v>126</c:v>
                      </c:pt>
                      <c:pt idx="12">
                        <c:v>1935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E9A-4A80-A7F0-9C30744D2F2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TF'!$N$184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E9A-4A80-A7F0-9C30744D2F2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E9A-4A80-A7F0-9C30744D2F2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E9A-4A80-A7F0-9C30744D2F2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E9A-4A80-A7F0-9C30744D2F2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E9A-4A80-A7F0-9C30744D2F2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E9A-4A80-A7F0-9C30744D2F2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E9A-4A80-A7F0-9C30744D2F2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E9A-4A80-A7F0-9C30744D2F2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E9A-4A80-A7F0-9C30744D2F2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E9A-4A80-A7F0-9C30744D2F2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E9A-4A80-A7F0-9C30744D2F2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E9A-4A80-A7F0-9C30744D2F2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E9A-4A80-A7F0-9C30744D2F29}"/>
              </c:ext>
            </c:extLst>
          </c:dPt>
          <c:cat>
            <c:strRef>
              <c:f>'Viajeros entr evol mensu TF'!$B$185:$B$196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TF'!$N$185:$N$197</c:f>
              <c:numCache>
                <c:formatCode>0.0%</c:formatCode>
                <c:ptCount val="13"/>
                <c:pt idx="0">
                  <c:v>-0.12600536193029488</c:v>
                </c:pt>
                <c:pt idx="1">
                  <c:v>-0.24025974025974028</c:v>
                </c:pt>
                <c:pt idx="2">
                  <c:v>-0.35641891891891897</c:v>
                </c:pt>
                <c:pt idx="3">
                  <c:v>0.40841584158415833</c:v>
                </c:pt>
                <c:pt idx="4">
                  <c:v>-0.64656616415410384</c:v>
                </c:pt>
                <c:pt idx="5">
                  <c:v>-0.42964352720450283</c:v>
                </c:pt>
                <c:pt idx="6">
                  <c:v>-0.11783439490445857</c:v>
                </c:pt>
                <c:pt idx="7">
                  <c:v>-0.3847736625514403</c:v>
                </c:pt>
                <c:pt idx="8">
                  <c:v>-5.5299539170506895E-2</c:v>
                </c:pt>
                <c:pt idx="12">
                  <c:v>-0.25442684063373722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E9A-4A80-A7F0-9C30744D2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3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0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10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10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10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07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chart" Target="../charts/chart70.xml"/><Relationship Id="rId1" Type="http://schemas.openxmlformats.org/officeDocument/2006/relationships/chart" Target="../charts/chart69.xml"/><Relationship Id="rId6" Type="http://schemas.openxmlformats.org/officeDocument/2006/relationships/image" Target="../media/image6.png"/><Relationship Id="rId5" Type="http://schemas.openxmlformats.org/officeDocument/2006/relationships/chart" Target="../charts/chart71.xml"/><Relationship Id="rId4" Type="http://schemas.openxmlformats.org/officeDocument/2006/relationships/image" Target="../media/image5.jpeg"/></Relationships>
</file>

<file path=xl/drawings/_rels/drawing1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72.xml"/><Relationship Id="rId5" Type="http://schemas.openxmlformats.org/officeDocument/2006/relationships/chart" Target="../charts/chart73.xml"/><Relationship Id="rId4" Type="http://schemas.openxmlformats.org/officeDocument/2006/relationships/image" Target="../media/image6.png"/></Relationships>
</file>

<file path=xl/drawings/_rels/drawing1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74.xml"/><Relationship Id="rId5" Type="http://schemas.openxmlformats.org/officeDocument/2006/relationships/chart" Target="../charts/chart75.xml"/><Relationship Id="rId4" Type="http://schemas.openxmlformats.org/officeDocument/2006/relationships/image" Target="../media/image6.png"/></Relationships>
</file>

<file path=xl/drawings/_rels/drawing1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76.xml"/><Relationship Id="rId5" Type="http://schemas.openxmlformats.org/officeDocument/2006/relationships/chart" Target="../charts/chart77.xml"/><Relationship Id="rId4" Type="http://schemas.openxmlformats.org/officeDocument/2006/relationships/image" Target="../media/image6.png"/></Relationships>
</file>

<file path=xl/drawings/_rels/drawing1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78.xml"/><Relationship Id="rId6" Type="http://schemas.openxmlformats.org/officeDocument/2006/relationships/chart" Target="../charts/chart80.xml"/><Relationship Id="rId5" Type="http://schemas.openxmlformats.org/officeDocument/2006/relationships/image" Target="../media/image6.png"/><Relationship Id="rId4" Type="http://schemas.openxmlformats.org/officeDocument/2006/relationships/chart" Target="../charts/chart79.xml"/></Relationships>
</file>

<file path=xl/drawings/_rels/drawing1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81.xml"/><Relationship Id="rId6" Type="http://schemas.openxmlformats.org/officeDocument/2006/relationships/chart" Target="../charts/chart83.xml"/><Relationship Id="rId5" Type="http://schemas.openxmlformats.org/officeDocument/2006/relationships/image" Target="../media/image6.png"/><Relationship Id="rId4" Type="http://schemas.openxmlformats.org/officeDocument/2006/relationships/chart" Target="../charts/chart82.xml"/></Relationships>
</file>

<file path=xl/drawings/_rels/drawing1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84.xml"/><Relationship Id="rId6" Type="http://schemas.openxmlformats.org/officeDocument/2006/relationships/chart" Target="../charts/chart86.xml"/><Relationship Id="rId5" Type="http://schemas.openxmlformats.org/officeDocument/2006/relationships/image" Target="../media/image6.png"/><Relationship Id="rId4" Type="http://schemas.openxmlformats.org/officeDocument/2006/relationships/chart" Target="../charts/chart85.xml"/></Relationships>
</file>

<file path=xl/drawings/_rels/drawing1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87.xml"/><Relationship Id="rId4" Type="http://schemas.openxmlformats.org/officeDocument/2006/relationships/image" Target="../media/image2.png"/></Relationships>
</file>

<file path=xl/drawings/_rels/drawing1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88.xml"/><Relationship Id="rId4" Type="http://schemas.openxmlformats.org/officeDocument/2006/relationships/image" Target="../media/image2.png"/></Relationships>
</file>

<file path=xl/drawings/_rels/drawing1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89.xm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image" Target="../media/image3.png"/><Relationship Id="rId7" Type="http://schemas.openxmlformats.org/officeDocument/2006/relationships/chart" Target="../charts/chart17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14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4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19.xml"/><Relationship Id="rId6" Type="http://schemas.openxmlformats.org/officeDocument/2006/relationships/chart" Target="../charts/chart21.xml"/><Relationship Id="rId5" Type="http://schemas.openxmlformats.org/officeDocument/2006/relationships/chart" Target="../charts/chart20.xml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image" Target="../media/image2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2.xml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image" Target="../media/image2.pn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5.xml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6.xml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7.xml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3.xml"/><Relationship Id="rId13" Type="http://schemas.openxmlformats.org/officeDocument/2006/relationships/chart" Target="../charts/chart38.xml"/><Relationship Id="rId3" Type="http://schemas.openxmlformats.org/officeDocument/2006/relationships/image" Target="../media/image3.png"/><Relationship Id="rId7" Type="http://schemas.openxmlformats.org/officeDocument/2006/relationships/chart" Target="../charts/chart32.xml"/><Relationship Id="rId12" Type="http://schemas.openxmlformats.org/officeDocument/2006/relationships/chart" Target="../charts/chart37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29.xml"/><Relationship Id="rId6" Type="http://schemas.openxmlformats.org/officeDocument/2006/relationships/chart" Target="../charts/chart31.xml"/><Relationship Id="rId11" Type="http://schemas.openxmlformats.org/officeDocument/2006/relationships/chart" Target="../charts/chart36.xml"/><Relationship Id="rId5" Type="http://schemas.openxmlformats.org/officeDocument/2006/relationships/chart" Target="../charts/chart30.xml"/><Relationship Id="rId15" Type="http://schemas.openxmlformats.org/officeDocument/2006/relationships/chart" Target="../charts/chart40.xml"/><Relationship Id="rId10" Type="http://schemas.openxmlformats.org/officeDocument/2006/relationships/chart" Target="../charts/chart35.xml"/><Relationship Id="rId4" Type="http://schemas.openxmlformats.org/officeDocument/2006/relationships/image" Target="../media/image2.png"/><Relationship Id="rId9" Type="http://schemas.openxmlformats.org/officeDocument/2006/relationships/chart" Target="../charts/chart34.xml"/><Relationship Id="rId14" Type="http://schemas.openxmlformats.org/officeDocument/2006/relationships/chart" Target="../charts/chart3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6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5.xml"/><Relationship Id="rId3" Type="http://schemas.openxmlformats.org/officeDocument/2006/relationships/image" Target="../media/image3.png"/><Relationship Id="rId7" Type="http://schemas.openxmlformats.org/officeDocument/2006/relationships/chart" Target="../charts/chart44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41.xml"/><Relationship Id="rId6" Type="http://schemas.openxmlformats.org/officeDocument/2006/relationships/chart" Target="../charts/chart43.xml"/><Relationship Id="rId5" Type="http://schemas.openxmlformats.org/officeDocument/2006/relationships/chart" Target="../charts/chart42.xml"/><Relationship Id="rId4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7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7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0.xml"/><Relationship Id="rId13" Type="http://schemas.openxmlformats.org/officeDocument/2006/relationships/chart" Target="../charts/chart55.xml"/><Relationship Id="rId3" Type="http://schemas.openxmlformats.org/officeDocument/2006/relationships/image" Target="../media/image3.png"/><Relationship Id="rId7" Type="http://schemas.openxmlformats.org/officeDocument/2006/relationships/chart" Target="../charts/chart49.xml"/><Relationship Id="rId12" Type="http://schemas.openxmlformats.org/officeDocument/2006/relationships/chart" Target="../charts/chart54.xml"/><Relationship Id="rId2" Type="http://schemas.openxmlformats.org/officeDocument/2006/relationships/hyperlink" Target="#'Men&#250; principal'!A1"/><Relationship Id="rId16" Type="http://schemas.openxmlformats.org/officeDocument/2006/relationships/chart" Target="../charts/chart58.xml"/><Relationship Id="rId1" Type="http://schemas.openxmlformats.org/officeDocument/2006/relationships/chart" Target="../charts/chart46.xml"/><Relationship Id="rId6" Type="http://schemas.openxmlformats.org/officeDocument/2006/relationships/chart" Target="../charts/chart48.xml"/><Relationship Id="rId11" Type="http://schemas.openxmlformats.org/officeDocument/2006/relationships/chart" Target="../charts/chart53.xml"/><Relationship Id="rId5" Type="http://schemas.openxmlformats.org/officeDocument/2006/relationships/chart" Target="../charts/chart47.xml"/><Relationship Id="rId15" Type="http://schemas.openxmlformats.org/officeDocument/2006/relationships/chart" Target="../charts/chart57.xml"/><Relationship Id="rId10" Type="http://schemas.openxmlformats.org/officeDocument/2006/relationships/chart" Target="../charts/chart52.xml"/><Relationship Id="rId4" Type="http://schemas.openxmlformats.org/officeDocument/2006/relationships/image" Target="../media/image2.png"/><Relationship Id="rId9" Type="http://schemas.openxmlformats.org/officeDocument/2006/relationships/chart" Target="../charts/chart51.xml"/><Relationship Id="rId14" Type="http://schemas.openxmlformats.org/officeDocument/2006/relationships/chart" Target="../charts/chart56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3" Type="http://schemas.openxmlformats.org/officeDocument/2006/relationships/image" Target="../media/image3.png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2" Type="http://schemas.openxmlformats.org/officeDocument/2006/relationships/hyperlink" Target="#'Men&#250; principal'!A1"/><Relationship Id="rId16" Type="http://schemas.openxmlformats.org/officeDocument/2006/relationships/chart" Target="../charts/chart13.xml"/><Relationship Id="rId1" Type="http://schemas.openxmlformats.org/officeDocument/2006/relationships/chart" Target="../charts/chart1.xml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4" Type="http://schemas.openxmlformats.org/officeDocument/2006/relationships/image" Target="../media/image2.png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8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3.xml"/><Relationship Id="rId3" Type="http://schemas.openxmlformats.org/officeDocument/2006/relationships/image" Target="../media/image3.png"/><Relationship Id="rId7" Type="http://schemas.openxmlformats.org/officeDocument/2006/relationships/chart" Target="../charts/chart62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59.xml"/><Relationship Id="rId6" Type="http://schemas.openxmlformats.org/officeDocument/2006/relationships/chart" Target="../charts/chart61.xml"/><Relationship Id="rId5" Type="http://schemas.openxmlformats.org/officeDocument/2006/relationships/chart" Target="../charts/chart60.xml"/><Relationship Id="rId4" Type="http://schemas.openxmlformats.org/officeDocument/2006/relationships/image" Target="../media/image2.png"/></Relationships>
</file>

<file path=xl/drawings/_rels/drawing9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9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8.xml"/><Relationship Id="rId3" Type="http://schemas.openxmlformats.org/officeDocument/2006/relationships/chart" Target="../charts/chart66.xml"/><Relationship Id="rId7" Type="http://schemas.openxmlformats.org/officeDocument/2006/relationships/chart" Target="../charts/chart67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Relationship Id="rId6" Type="http://schemas.openxmlformats.org/officeDocument/2006/relationships/image" Target="../media/image2.png"/><Relationship Id="rId5" Type="http://schemas.openxmlformats.org/officeDocument/2006/relationships/image" Target="../media/image3.png"/><Relationship Id="rId4" Type="http://schemas.openxmlformats.org/officeDocument/2006/relationships/hyperlink" Target="#'Men&#250; principal'!A1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5934075</xdr:colOff>
      <xdr:row>1</xdr:row>
      <xdr:rowOff>171450</xdr:rowOff>
    </xdr:from>
    <xdr:to>
      <xdr:col>1</xdr:col>
      <xdr:colOff>9159636</xdr:colOff>
      <xdr:row>3</xdr:row>
      <xdr:rowOff>131340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44835B-C47A-49C8-8A1E-02031F27A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8475" y="361950"/>
          <a:ext cx="3225561" cy="874290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españoles entrados en los establecimientos alojativos de Santiago del Teide 
(hotel + apartamento)</a:t>
          </a:fld>
          <a:endParaRPr lang="es-ES" sz="1100"/>
        </a:p>
      </cdr:txBody>
    </cdr:sp>
  </cdr:relSizeAnchor>
</c:userShapes>
</file>

<file path=xl/drawings/drawing10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tasa de ocupación evol mens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8277B92F-191F-48A0-813B-24B2E6B2EF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Tasa de ocupación por plaza en los hoteles de Santiago del Teide</a:t>
          </a:fld>
          <a:endParaRPr lang="es-ES" sz="1100"/>
        </a:p>
      </cdr:txBody>
    </cdr:sp>
  </cdr:relSizeAnchor>
</c:userShapes>
</file>

<file path=xl/drawings/drawing10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tasa de ocupación evol mens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50D8823-FBC2-4B03-A811-E1EE0E7E4A1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Tasa de ocupación por plaza en los hoteles de 4, 5 Estrellas de Santiago del Teide</a:t>
          </a:fld>
          <a:endParaRPr lang="es-ES" sz="1100"/>
        </a:p>
      </cdr:txBody>
    </cdr:sp>
  </cdr:relSizeAnchor>
</c:userShapes>
</file>

<file path=xl/drawings/drawing10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2</xdr:row>
      <xdr:rowOff>0</xdr:rowOff>
    </xdr:from>
    <xdr:to>
      <xdr:col>10</xdr:col>
      <xdr:colOff>495300</xdr:colOff>
      <xdr:row>24</xdr:row>
      <xdr:rowOff>180975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8B1034D9-1D37-4AD1-BD09-6EDD7F4E9F38}"/>
            </a:ext>
          </a:extLst>
        </xdr:cNvPr>
        <xdr:cNvGrpSpPr/>
      </xdr:nvGrpSpPr>
      <xdr:grpSpPr>
        <a:xfrm>
          <a:off x="342900" y="38100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19204F27-5118-05F4-7B38-363206B41A9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D9E0CBC5-27C9-2C24-A086-C02848F4A46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562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Indicadores de rentabilidad alojativa</a:t>
            </a:r>
          </a:p>
        </xdr:txBody>
      </xdr:sp>
    </xdr:grpSp>
    <xdr:clientData/>
  </xdr:twoCellAnchor>
</xdr:wsDr>
</file>

<file path=xl/drawings/drawing10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66676</xdr:rowOff>
    </xdr:from>
    <xdr:to>
      <xdr:col>0</xdr:col>
      <xdr:colOff>838200</xdr:colOff>
      <xdr:row>4</xdr:row>
      <xdr:rowOff>257176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4BC780-D04F-41C8-AF3C-E5F68EDF8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09601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847725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A7F24E2-295A-4ADC-87DD-97B25D7ED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0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58B6B8-C6BD-4361-B47C-1AE4D0952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75D0921-AE92-44E3-B74E-5F394AAB8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AFFD5DF-B243-4550-BB09-D38E12255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10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A7A516-F35E-4B0A-98C3-588449055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43031E8-00CD-4DD2-AECD-5F8E500DB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C3D74C9-45BB-49AF-8525-3264BA94C7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10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2</xdr:row>
      <xdr:rowOff>0</xdr:rowOff>
    </xdr:from>
    <xdr:to>
      <xdr:col>10</xdr:col>
      <xdr:colOff>495300</xdr:colOff>
      <xdr:row>24</xdr:row>
      <xdr:rowOff>180975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F002D6BF-6F63-4E9B-9D93-AC79023A8DD9}"/>
            </a:ext>
          </a:extLst>
        </xdr:cNvPr>
        <xdr:cNvGrpSpPr/>
      </xdr:nvGrpSpPr>
      <xdr:grpSpPr>
        <a:xfrm>
          <a:off x="342900" y="38100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4B418EA6-C7A9-021F-5E72-28C4E4050E7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A8B7D5B2-8747-D943-E2B9-1FDAD054760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562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Viajeros españoles</a:t>
            </a:r>
          </a:p>
        </xdr:txBody>
      </xdr:sp>
    </xdr:grpSp>
    <xdr:clientData/>
  </xdr:twoCellAnchor>
</xdr:wsDr>
</file>

<file path=xl/drawings/drawing10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1060453</xdr:colOff>
      <xdr:row>14</xdr:row>
      <xdr:rowOff>38100</xdr:rowOff>
    </xdr:from>
    <xdr:to>
      <xdr:col>6</xdr:col>
      <xdr:colOff>705803</xdr:colOff>
      <xdr:row>35</xdr:row>
      <xdr:rowOff>120967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9B4FC55B-6D65-49A9-8B03-E61EA929C7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7</xdr:col>
      <xdr:colOff>448944</xdr:colOff>
      <xdr:row>13</xdr:row>
      <xdr:rowOff>73025</xdr:rowOff>
    </xdr:from>
    <xdr:to>
      <xdr:col>14</xdr:col>
      <xdr:colOff>369570</xdr:colOff>
      <xdr:row>30</xdr:row>
      <xdr:rowOff>135890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956E3499-BB3B-469C-BAA0-BD49FE58BB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659130</xdr:colOff>
      <xdr:row>1</xdr:row>
      <xdr:rowOff>152400</xdr:rowOff>
    </xdr:to>
    <xdr:pic>
      <xdr:nvPicPr>
        <xdr:cNvPr id="4" name="4 Imagen" descr="https://encrypted-tbn3.gstatic.com/images?q=tbn:ANd9GcS9dv_h_mgRl4NU7cIhTzv3MoOn0ZiT6qdeiJWxJuzUuUnUnoR-">
          <a:hlinkClick xmlns:r="http://schemas.openxmlformats.org/officeDocument/2006/relationships" r:id="rId3" tooltip="Ir al índice"/>
          <a:extLst>
            <a:ext uri="{FF2B5EF4-FFF2-40B4-BE49-F238E27FC236}">
              <a16:creationId xmlns:a16="http://schemas.microsoft.com/office/drawing/2014/main" id="{F64304C0-4407-4909-B8C5-E3EE79DCB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16900" y="38100"/>
          <a:ext cx="49720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14</xdr:row>
      <xdr:rowOff>95250</xdr:rowOff>
    </xdr:from>
    <xdr:ext cx="9191626" cy="4545000"/>
    <xdr:graphicFrame macro="">
      <xdr:nvGraphicFramePr>
        <xdr:cNvPr id="5" name="1 Gráfico">
          <a:extLst>
            <a:ext uri="{FF2B5EF4-FFF2-40B4-BE49-F238E27FC236}">
              <a16:creationId xmlns:a16="http://schemas.microsoft.com/office/drawing/2014/main" id="{0598C7AE-46B4-4E20-B55A-222C72939A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597195</xdr:colOff>
      <xdr:row>1</xdr:row>
      <xdr:rowOff>102870</xdr:rowOff>
    </xdr:to>
    <xdr:pic>
      <xdr:nvPicPr>
        <xdr:cNvPr id="6" name="Imagen 5">
          <a:hlinkClick xmlns:r="http://schemas.openxmlformats.org/officeDocument/2006/relationships" r:id="rId3" tooltip="Volver al menú principal"/>
          <a:extLst>
            <a:ext uri="{FF2B5EF4-FFF2-40B4-BE49-F238E27FC236}">
              <a16:creationId xmlns:a16="http://schemas.microsoft.com/office/drawing/2014/main" id="{2425BF7A-E8C4-4705-84DE-FD9745946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8295" cy="483870"/>
        </a:xfrm>
        <a:prstGeom prst="rect">
          <a:avLst/>
        </a:prstGeom>
      </xdr:spPr>
    </xdr:pic>
    <xdr:clientData/>
  </xdr:twoCellAnchor>
</xdr:wsDr>
</file>

<file path=xl/drawings/drawing108.xml><?xml version="1.0" encoding="utf-8"?>
<c:userShapes xmlns:c="http://schemas.openxmlformats.org/drawingml/2006/chart">
  <cdr:relSizeAnchor xmlns:cdr="http://schemas.openxmlformats.org/drawingml/2006/chartDrawing">
    <cdr:from>
      <cdr:x>0</cdr:x>
      <cdr:y>0.93842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31758F8E-4084-474F-8EDA-80184F875402}"/>
            </a:ext>
          </a:extLst>
        </cdr:cNvPr>
        <cdr:cNvSpPr txBox="1"/>
      </cdr:nvSpPr>
      <cdr:spPr>
        <a:xfrm xmlns:a="http://schemas.openxmlformats.org/drawingml/2006/main">
          <a:off x="0" y="3048001"/>
          <a:ext cx="5472113" cy="2000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</a:t>
          </a:r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rPr>
            <a:t>Insular</a:t>
          </a:r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 de Tenerife. ELABORACIÓN: Turismo de Tenerife </a:t>
          </a:r>
        </a:p>
      </cdr:txBody>
    </cdr:sp>
  </cdr:relSizeAnchor>
  <cdr:relSizeAnchor xmlns:cdr="http://schemas.openxmlformats.org/drawingml/2006/chartDrawing">
    <cdr:from>
      <cdr:x>0.39564</cdr:x>
      <cdr:y>0.35377</cdr:y>
    </cdr:from>
    <cdr:to>
      <cdr:x>0.91656</cdr:x>
      <cdr:y>0.48035</cdr:y>
    </cdr:to>
    <cdr:sp macro="" textlink="">
      <cdr:nvSpPr>
        <cdr:cNvPr id="6" name="Cerrar llave 5">
          <a:extLst xmlns:a="http://schemas.openxmlformats.org/drawingml/2006/main">
            <a:ext uri="{FF2B5EF4-FFF2-40B4-BE49-F238E27FC236}">
              <a16:creationId xmlns:a16="http://schemas.microsoft.com/office/drawing/2014/main" id="{469DACD7-1EE4-4E55-BAAA-E095C61962BC}"/>
            </a:ext>
          </a:extLst>
        </cdr:cNvPr>
        <cdr:cNvSpPr/>
      </cdr:nvSpPr>
      <cdr:spPr>
        <a:xfrm xmlns:a="http://schemas.openxmlformats.org/drawingml/2006/main" rot="16200000">
          <a:off x="4003280" y="-193004"/>
          <a:ext cx="450922" cy="3357458"/>
        </a:xfrm>
        <a:prstGeom xmlns:a="http://schemas.openxmlformats.org/drawingml/2006/main" prst="rightBrace">
          <a:avLst>
            <a:gd name="adj1" fmla="val 8333"/>
            <a:gd name="adj2" fmla="val 46363"/>
          </a:avLst>
        </a:prstGeom>
        <a:ln xmlns:a="http://schemas.openxmlformats.org/drawingml/2006/main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0.43619</cdr:x>
      <cdr:y>0.15305</cdr:y>
    </cdr:from>
    <cdr:to>
      <cdr:x>0.82762</cdr:x>
      <cdr:y>0.25178</cdr:y>
    </cdr:to>
    <cdr:sp macro="" textlink="">
      <cdr:nvSpPr>
        <cdr:cNvPr id="7" name="CuadroTexto 3">
          <a:extLst xmlns:a="http://schemas.openxmlformats.org/drawingml/2006/main">
            <a:ext uri="{FF2B5EF4-FFF2-40B4-BE49-F238E27FC236}">
              <a16:creationId xmlns:a16="http://schemas.microsoft.com/office/drawing/2014/main" id="{277374B0-BFCC-495F-8F00-B86CEDAE30F1}"/>
            </a:ext>
          </a:extLst>
        </cdr:cNvPr>
        <cdr:cNvSpPr txBox="1"/>
      </cdr:nvSpPr>
      <cdr:spPr>
        <a:xfrm xmlns:a="http://schemas.openxmlformats.org/drawingml/2006/main">
          <a:off x="2811353" y="545212"/>
          <a:ext cx="2522863" cy="351710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1600" b="1">
              <a:solidFill>
                <a:schemeClr val="tx1">
                  <a:lumMod val="65000"/>
                  <a:lumOff val="35000"/>
                </a:schemeClr>
              </a:solidFill>
            </a:rPr>
            <a:t>Total</a:t>
          </a:r>
          <a:r>
            <a:rPr lang="es-ES" sz="1600" b="1" baseline="0">
              <a:solidFill>
                <a:schemeClr val="tx1">
                  <a:lumMod val="65000"/>
                  <a:lumOff val="35000"/>
                </a:schemeClr>
              </a:solidFill>
            </a:rPr>
            <a:t> turismo canario</a:t>
          </a:r>
          <a:endParaRPr lang="es-ES" sz="1600" b="1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0.57735</cdr:x>
      <cdr:y>0.27208</cdr:y>
    </cdr:from>
    <cdr:to>
      <cdr:x>0.68978</cdr:x>
      <cdr:y>0.33541</cdr:y>
    </cdr:to>
    <cdr:sp macro="" textlink="'distribución españoles x Resid'!$O$9">
      <cdr:nvSpPr>
        <cdr:cNvPr id="8" name="CuadroTexto 3">
          <a:extLst xmlns:a="http://schemas.openxmlformats.org/drawingml/2006/main">
            <a:ext uri="{FF2B5EF4-FFF2-40B4-BE49-F238E27FC236}">
              <a16:creationId xmlns:a16="http://schemas.microsoft.com/office/drawing/2014/main" id="{4C9EE597-C83C-44F2-B4A3-633066BB0BF2}"/>
            </a:ext>
          </a:extLst>
        </cdr:cNvPr>
        <cdr:cNvSpPr txBox="1"/>
      </cdr:nvSpPr>
      <cdr:spPr>
        <a:xfrm xmlns:a="http://schemas.openxmlformats.org/drawingml/2006/main">
          <a:off x="3817377" y="1110490"/>
          <a:ext cx="743379" cy="2584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>
          <a:solidFill>
            <a:schemeClr val="accent3"/>
          </a:solidFill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D8EB6A94-6C61-4F4A-B0DF-7DBBFCDFD143}" type="TxLink">
            <a:rPr lang="en-US" sz="1200" b="1" i="0" u="none" strike="noStrike">
              <a:solidFill>
                <a:schemeClr val="accent3"/>
              </a:solidFill>
              <a:latin typeface="Calibri"/>
              <a:ea typeface="Calibri"/>
              <a:cs typeface="Calibri"/>
            </a:rPr>
            <a:pPr algn="ctr"/>
            <a:t>8,6%</a:t>
          </a:fld>
          <a:endParaRPr lang="es-ES" sz="1400" b="1">
            <a:solidFill>
              <a:schemeClr val="accent3"/>
            </a:solidFill>
          </a:endParaRPr>
        </a:p>
      </cdr:txBody>
    </cdr:sp>
  </cdr:relSizeAnchor>
  <cdr:relSizeAnchor xmlns:cdr="http://schemas.openxmlformats.org/drawingml/2006/chartDrawing">
    <cdr:from>
      <cdr:x>0.56188</cdr:x>
      <cdr:y>0.21162</cdr:y>
    </cdr:from>
    <cdr:to>
      <cdr:x>0.70176</cdr:x>
      <cdr:y>0.28983</cdr:y>
    </cdr:to>
    <cdr:sp macro="" textlink="'distribución españoles x Resid'!$N$9">
      <cdr:nvSpPr>
        <cdr:cNvPr id="9" name="CuadroTexto 3">
          <a:extLst xmlns:a="http://schemas.openxmlformats.org/drawingml/2006/main">
            <a:ext uri="{FF2B5EF4-FFF2-40B4-BE49-F238E27FC236}">
              <a16:creationId xmlns:a16="http://schemas.microsoft.com/office/drawing/2014/main" id="{B06674D6-B1FE-43AA-BD4E-1158A6AF831A}"/>
            </a:ext>
          </a:extLst>
        </cdr:cNvPr>
        <cdr:cNvSpPr txBox="1"/>
      </cdr:nvSpPr>
      <cdr:spPr>
        <a:xfrm xmlns:a="http://schemas.openxmlformats.org/drawingml/2006/main">
          <a:off x="3621442" y="753872"/>
          <a:ext cx="901561" cy="278611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3DFE3520-A142-44BE-949C-98BD71D40043}" type="TxLink">
            <a:rPr lang="en-US" sz="14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 algn="ctr"/>
            <a:t>16.291</a:t>
          </a:fld>
          <a:endParaRPr lang="es-ES" sz="1600" b="1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0.70672</cdr:x>
      <cdr:y>0.26753</cdr:y>
    </cdr:from>
    <cdr:to>
      <cdr:x>0.82251</cdr:x>
      <cdr:y>0.33257</cdr:y>
    </cdr:to>
    <cdr:sp macro="" textlink="'distribución españoles x Resid'!$S$9">
      <cdr:nvSpPr>
        <cdr:cNvPr id="16" name="CuadroTexto 15">
          <a:extLst xmlns:a="http://schemas.openxmlformats.org/drawingml/2006/main">
            <a:ext uri="{FF2B5EF4-FFF2-40B4-BE49-F238E27FC236}">
              <a16:creationId xmlns:a16="http://schemas.microsoft.com/office/drawing/2014/main" id="{35529699-B5DE-4E82-9402-691AEDFDDCDC}"/>
            </a:ext>
          </a:extLst>
        </cdr:cNvPr>
        <cdr:cNvSpPr txBox="1"/>
      </cdr:nvSpPr>
      <cdr:spPr>
        <a:xfrm xmlns:a="http://schemas.openxmlformats.org/drawingml/2006/main">
          <a:off x="4672792" y="1091930"/>
          <a:ext cx="765596" cy="265458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bg1">
              <a:lumMod val="65000"/>
            </a:schemeClr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E3A6F43F-5657-4BB1-A66C-84C7CA060AD7}" type="TxLink">
            <a:rPr lang="en-US" sz="1100" b="1" i="0" u="none" strike="noStrike">
              <a:solidFill>
                <a:schemeClr val="bg1">
                  <a:lumMod val="65000"/>
                </a:schemeClr>
              </a:solidFill>
              <a:latin typeface="Calibri"/>
              <a:ea typeface="Calibri"/>
              <a:cs typeface="Calibri"/>
            </a:rPr>
            <a:pPr algn="ctr"/>
            <a:t>61,4%</a:t>
          </a:fld>
          <a:endParaRPr lang="es-ES" sz="1200">
            <a:solidFill>
              <a:schemeClr val="bg1">
                <a:lumMod val="6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0.17381</cdr:y>
    </cdr:to>
    <cdr:sp macro="" textlink="'distribución españoles x Resid'!$B$3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55D3B39E-6851-4C36-B8B6-6CD68DC2EBAC}"/>
            </a:ext>
          </a:extLst>
        </cdr:cNvPr>
        <cdr:cNvSpPr txBox="1"/>
      </cdr:nvSpPr>
      <cdr:spPr>
        <a:xfrm xmlns:a="http://schemas.openxmlformats.org/drawingml/2006/main">
          <a:off x="0" y="0"/>
          <a:ext cx="6611935" cy="6762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6CF2B8F0-D7E4-4DC8-B136-07E75A981FB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Viajeros españoles entrados en los hoteles y apartamentos de Santiago del Teide según lugar de residencia</a:t>
          </a:fld>
          <a:endParaRPr lang="es-ES" sz="180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</c:userShapes>
</file>

<file path=xl/drawings/drawing109.xml><?xml version="1.0" encoding="utf-8"?>
<c:userShapes xmlns:c="http://schemas.openxmlformats.org/drawingml/2006/chart">
  <cdr:relSizeAnchor xmlns:cdr="http://schemas.openxmlformats.org/drawingml/2006/chartDrawing">
    <cdr:from>
      <cdr:x>0</cdr:x>
      <cdr:y>0.93407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3238501"/>
          <a:ext cx="5472113" cy="2285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0.0087</cdr:x>
      <cdr:y>0</cdr:y>
    </cdr:from>
    <cdr:to>
      <cdr:x>0.99216</cdr:x>
      <cdr:y>0.2219</cdr:y>
    </cdr:to>
    <cdr:sp macro="" textlink="'distribución españoles x Resid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57150" y="0"/>
          <a:ext cx="6460423" cy="7325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españoles entrados en hoteles y apartamentos de Santiago del Teide  por lugar de residencia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0.70361</cdr:x>
      <cdr:y>0.21422</cdr:y>
    </cdr:from>
    <cdr:to>
      <cdr:x>0.75287</cdr:x>
      <cdr:y>0.88569</cdr:y>
    </cdr:to>
    <cdr:sp macro="" textlink="">
      <cdr:nvSpPr>
        <cdr:cNvPr id="9" name="Cerrar llave 8">
          <a:extLst xmlns:a="http://schemas.openxmlformats.org/drawingml/2006/main">
            <a:ext uri="{FF2B5EF4-FFF2-40B4-BE49-F238E27FC236}">
              <a16:creationId xmlns:a16="http://schemas.microsoft.com/office/drawing/2014/main" id="{86FD90C6-C671-486D-8C54-9121492BC7EB}"/>
            </a:ext>
          </a:extLst>
        </cdr:cNvPr>
        <cdr:cNvSpPr/>
      </cdr:nvSpPr>
      <cdr:spPr>
        <a:xfrm xmlns:a="http://schemas.openxmlformats.org/drawingml/2006/main">
          <a:off x="5441950" y="708025"/>
          <a:ext cx="381000" cy="2219325"/>
        </a:xfrm>
        <a:prstGeom xmlns:a="http://schemas.openxmlformats.org/drawingml/2006/main" prst="rightBrace">
          <a:avLst>
            <a:gd name="adj1" fmla="val 8333"/>
            <a:gd name="adj2" fmla="val 29829"/>
          </a:avLst>
        </a:prstGeom>
        <a:ln xmlns:a="http://schemas.openxmlformats.org/drawingml/2006/main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0.75237</cdr:x>
      <cdr:y>0.25456</cdr:y>
    </cdr:from>
    <cdr:to>
      <cdr:x>0.99397</cdr:x>
      <cdr:y>0.53122</cdr:y>
    </cdr:to>
    <cdr:grpSp>
      <cdr:nvGrpSpPr>
        <cdr:cNvPr id="19" name="Grupo 18">
          <a:extLst xmlns:a="http://schemas.openxmlformats.org/drawingml/2006/main">
            <a:ext uri="{FF2B5EF4-FFF2-40B4-BE49-F238E27FC236}">
              <a16:creationId xmlns:a16="http://schemas.microsoft.com/office/drawing/2014/main" id="{43E73BE4-588E-45DC-B07F-87A1D48D6B98}"/>
            </a:ext>
          </a:extLst>
        </cdr:cNvPr>
        <cdr:cNvGrpSpPr/>
      </cdr:nvGrpSpPr>
      <cdr:grpSpPr>
        <a:xfrm xmlns:a="http://schemas.openxmlformats.org/drawingml/2006/main">
          <a:off x="4942376" y="840395"/>
          <a:ext cx="1587088" cy="913356"/>
          <a:chOff x="-118136" y="-50384"/>
          <a:chExt cx="1768394" cy="546907"/>
        </a:xfrm>
      </cdr:grpSpPr>
      <cdr:sp macro="" textlink="">
        <cdr:nvSpPr>
          <cdr:cNvPr id="23" name="CuadroTexto 3">
            <a:extLst xmlns:a="http://schemas.openxmlformats.org/drawingml/2006/main">
              <a:ext uri="{FF2B5EF4-FFF2-40B4-BE49-F238E27FC236}">
                <a16:creationId xmlns:a16="http://schemas.microsoft.com/office/drawing/2014/main" id="{C5AD8BF3-D5DB-43D7-800F-DEA9B011B08C}"/>
              </a:ext>
            </a:extLst>
          </cdr:cNvPr>
          <cdr:cNvSpPr txBox="1"/>
        </cdr:nvSpPr>
        <cdr:spPr>
          <a:xfrm xmlns:a="http://schemas.openxmlformats.org/drawingml/2006/main">
            <a:off x="-118136" y="-50384"/>
            <a:ext cx="1768394" cy="546907"/>
          </a:xfrm>
          <a:prstGeom xmlns:a="http://schemas.openxmlformats.org/drawingml/2006/main" prst="rect">
            <a:avLst/>
          </a:prstGeom>
          <a:ln xmlns:a="http://schemas.openxmlformats.org/drawingml/2006/main">
            <a:solidFill>
              <a:schemeClr val="bg1">
                <a:lumMod val="50000"/>
              </a:schemeClr>
            </a:solidFill>
          </a:ln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s-ES" sz="1400" b="1">
                <a:solidFill>
                  <a:schemeClr val="tx1">
                    <a:lumMod val="65000"/>
                    <a:lumOff val="35000"/>
                  </a:schemeClr>
                </a:solidFill>
              </a:rPr>
              <a:t>Total</a:t>
            </a:r>
            <a:r>
              <a:rPr lang="es-ES" sz="1400" b="1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turismo canario</a:t>
            </a:r>
            <a:endParaRPr lang="es-ES" sz="1400" b="1">
              <a:solidFill>
                <a:schemeClr val="tx1">
                  <a:lumMod val="65000"/>
                  <a:lumOff val="35000"/>
                </a:schemeClr>
              </a:solidFill>
            </a:endParaRPr>
          </a:p>
        </cdr:txBody>
      </cdr:sp>
      <cdr:sp macro="" textlink="'distribución españoles x Resid'!$N$9">
        <cdr:nvSpPr>
          <cdr:cNvPr id="24" name="CuadroTexto 4">
            <a:extLst xmlns:a="http://schemas.openxmlformats.org/drawingml/2006/main">
              <a:ext uri="{FF2B5EF4-FFF2-40B4-BE49-F238E27FC236}">
                <a16:creationId xmlns:a16="http://schemas.microsoft.com/office/drawing/2014/main" id="{7BF59A4D-C9D0-46F6-A505-3100DBB18C12}"/>
              </a:ext>
            </a:extLst>
          </cdr:cNvPr>
          <cdr:cNvSpPr txBox="1"/>
        </cdr:nvSpPr>
        <cdr:spPr>
          <a:xfrm xmlns:a="http://schemas.openxmlformats.org/drawingml/2006/main">
            <a:off x="269366" y="246761"/>
            <a:ext cx="958037" cy="179899"/>
          </a:xfrm>
          <a:prstGeom xmlns:a="http://schemas.openxmlformats.org/drawingml/2006/main" prst="rect">
            <a:avLst/>
          </a:prstGeom>
          <a:ln xmlns:a="http://schemas.openxmlformats.org/drawingml/2006/main">
            <a:noFill/>
          </a:ln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 algn="ctr"/>
            <a:fld id="{412286F5-1A05-47E0-97D1-52FF465F2855}" type="TxLink">
              <a:rPr lang="en-US" sz="1600" b="1" i="0" u="none" strike="noStrike">
                <a:solidFill>
                  <a:srgbClr val="7B8279"/>
                </a:solidFill>
                <a:latin typeface="Calibri"/>
                <a:ea typeface="Calibri"/>
                <a:cs typeface="Calibri"/>
              </a:rPr>
              <a:pPr marL="0" indent="0" algn="ctr"/>
              <a:t>16.291</a:t>
            </a:fld>
            <a:endParaRPr lang="es-ES" sz="2000" b="1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endParaRPr>
          </a:p>
        </cdr:txBody>
      </cdr:sp>
    </cdr:grpSp>
  </cdr:relSizeAnchor>
  <cdr:relSizeAnchor xmlns:cdr="http://schemas.openxmlformats.org/drawingml/2006/chartDrawing">
    <cdr:from>
      <cdr:x>0.73929</cdr:x>
      <cdr:y>0.56868</cdr:y>
    </cdr:from>
    <cdr:to>
      <cdr:x>0.99304</cdr:x>
      <cdr:y>0.84945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4D63E92D-ACB2-45A8-BCA5-E07887F3BD29}"/>
            </a:ext>
          </a:extLst>
        </cdr:cNvPr>
        <cdr:cNvGrpSpPr/>
      </cdr:nvGrpSpPr>
      <cdr:grpSpPr>
        <a:xfrm xmlns:a="http://schemas.openxmlformats.org/drawingml/2006/main">
          <a:off x="4856452" y="1877420"/>
          <a:ext cx="1666903" cy="926924"/>
          <a:chOff x="4210084" y="1879587"/>
          <a:chExt cx="1581328" cy="927994"/>
        </a:xfrm>
      </cdr:grpSpPr>
      <cdr:sp macro="" textlink="">
        <cdr:nvSpPr>
          <cdr:cNvPr id="21" name="4 CuadroTexto">
            <a:extLst xmlns:a="http://schemas.openxmlformats.org/drawingml/2006/main">
              <a:ext uri="{FF2B5EF4-FFF2-40B4-BE49-F238E27FC236}">
                <a16:creationId xmlns:a16="http://schemas.microsoft.com/office/drawing/2014/main" id="{5DDA589D-22D4-4B16-B090-802F84D0510E}"/>
              </a:ext>
            </a:extLst>
          </cdr:cNvPr>
          <cdr:cNvSpPr txBox="1"/>
        </cdr:nvSpPr>
        <cdr:spPr>
          <a:xfrm xmlns:a="http://schemas.openxmlformats.org/drawingml/2006/main">
            <a:off x="4210084" y="1879587"/>
            <a:ext cx="1581328" cy="927994"/>
          </a:xfrm>
          <a:prstGeom xmlns:a="http://schemas.openxmlformats.org/drawingml/2006/main" prst="rect">
            <a:avLst/>
          </a:prstGeom>
          <a:ln xmlns:a="http://schemas.openxmlformats.org/drawingml/2006/main" w="3175">
            <a:solidFill>
              <a:schemeClr val="accent1"/>
            </a:solidFill>
          </a:ln>
        </cdr:spPr>
        <cdr:txBody>
          <a:bodyPr xmlns:a="http://schemas.openxmlformats.org/drawingml/2006/main" wrap="square" rtlCol="0" anchor="ctr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 algn="ctr">
              <a:lnSpc>
                <a:spcPct val="100000"/>
              </a:lnSpc>
            </a:pPr>
            <a:r>
              <a:rPr lang="es-ES" sz="1400" b="1" i="0" u="none" strike="noStrike" dirty="0">
                <a:solidFill>
                  <a:schemeClr val="accent2"/>
                </a:solidFill>
                <a:latin typeface="Calibri"/>
                <a:ea typeface="+mn-ea"/>
                <a:cs typeface="+mn-cs"/>
              </a:rPr>
              <a:t>Turismo Canario</a:t>
            </a:r>
          </a:p>
          <a:p xmlns:a="http://schemas.openxmlformats.org/drawingml/2006/main">
            <a:pPr marL="0" indent="0" algn="ctr">
              <a:lnSpc>
                <a:spcPct val="100000"/>
              </a:lnSpc>
            </a:pPr>
            <a:r>
              <a:rPr lang="es-ES" sz="1400" b="1" i="0" u="none" strike="noStrike" dirty="0">
                <a:solidFill>
                  <a:schemeClr val="accent2"/>
                </a:solidFill>
                <a:latin typeface="Calibri"/>
                <a:ea typeface="+mn-ea"/>
                <a:cs typeface="+mn-cs"/>
              </a:rPr>
              <a:t> </a:t>
            </a:r>
          </a:p>
        </cdr:txBody>
      </cdr:sp>
      <cdr:sp macro="" textlink="'distribución españoles x Resid'!$S$9">
        <cdr:nvSpPr>
          <cdr:cNvPr id="22" name="CuadroTexto 1">
            <a:extLst xmlns:a="http://schemas.openxmlformats.org/drawingml/2006/main">
              <a:ext uri="{FF2B5EF4-FFF2-40B4-BE49-F238E27FC236}">
                <a16:creationId xmlns:a16="http://schemas.microsoft.com/office/drawing/2014/main" id="{7A1FB039-8E15-44CE-9502-D48144CFC5DB}"/>
              </a:ext>
            </a:extLst>
          </cdr:cNvPr>
          <cdr:cNvSpPr txBox="1"/>
        </cdr:nvSpPr>
        <cdr:spPr>
          <a:xfrm xmlns:a="http://schemas.openxmlformats.org/drawingml/2006/main">
            <a:off x="4562251" y="2317629"/>
            <a:ext cx="731698" cy="333174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 anchor="ctr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 algn="r"/>
            <a:fld id="{6252F33D-EF1C-47C4-96A5-DEAC3CCFC160}" type="TxLink">
              <a:rPr lang="en-US" sz="1400" b="1" i="0" u="none" strike="noStrike">
                <a:solidFill>
                  <a:schemeClr val="accent6"/>
                </a:solidFill>
                <a:latin typeface="Calibri"/>
                <a:ea typeface="Calibri"/>
                <a:cs typeface="Calibri"/>
              </a:rPr>
              <a:pPr marL="0" indent="0" algn="r"/>
              <a:t>61,4%</a:t>
            </a:fld>
            <a:endParaRPr lang="es-ES" sz="1800" b="1" i="0" u="none" strike="noStrike">
              <a:solidFill>
                <a:schemeClr val="accent6"/>
              </a:solidFill>
              <a:latin typeface="Calibri"/>
              <a:ea typeface="+mn-ea"/>
              <a:cs typeface="+mn-cs"/>
            </a:endParaRPr>
          </a:p>
        </cdr:txBody>
      </cdr:sp>
    </cdr:grpSp>
  </cdr:relSizeAnchor>
  <cdr:relSizeAnchor xmlns:cdr="http://schemas.openxmlformats.org/drawingml/2006/chartDrawing">
    <cdr:from>
      <cdr:x>0.76539</cdr:x>
      <cdr:y>0.77333</cdr:y>
    </cdr:from>
    <cdr:to>
      <cdr:x>0.97535</cdr:x>
      <cdr:y>0.84538</cdr:y>
    </cdr:to>
    <cdr:sp macro="" textlink="">
      <cdr:nvSpPr>
        <cdr:cNvPr id="26" name="CuadroTexto 1">
          <a:extLst xmlns:a="http://schemas.openxmlformats.org/drawingml/2006/main">
            <a:ext uri="{FF2B5EF4-FFF2-40B4-BE49-F238E27FC236}">
              <a16:creationId xmlns:a16="http://schemas.microsoft.com/office/drawing/2014/main" id="{0D6E40F3-67BA-46DA-9F8A-37F48AFBB0E0}"/>
            </a:ext>
          </a:extLst>
        </cdr:cNvPr>
        <cdr:cNvSpPr txBox="1"/>
      </cdr:nvSpPr>
      <cdr:spPr>
        <a:xfrm xmlns:a="http://schemas.openxmlformats.org/drawingml/2006/main">
          <a:off x="5027931" y="2553033"/>
          <a:ext cx="1379220" cy="2378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 b="1" i="0" u="none" strike="noStrike">
              <a:solidFill>
                <a:schemeClr val="accent2"/>
              </a:solidFill>
              <a:latin typeface="Calibri"/>
            </a:rPr>
            <a:t>del total España</a:t>
          </a:r>
          <a:endParaRPr lang="es-ES" sz="1600" b="1">
            <a:solidFill>
              <a:schemeClr val="accent2"/>
            </a:solidFill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peninsulares entrados en los establecimientos alojativos de Santiago del Teide 
(hotel + apartamento)</a:t>
          </a:fld>
          <a:endParaRPr lang="es-ES" sz="1100"/>
        </a:p>
      </cdr:txBody>
    </cdr:sp>
  </cdr:relSizeAnchor>
</c:userShapes>
</file>

<file path=xl/drawings/drawing110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11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608964</xdr:colOff>
      <xdr:row>23</xdr:row>
      <xdr:rowOff>95885</xdr:rowOff>
    </xdr:from>
    <xdr:to>
      <xdr:col>25</xdr:col>
      <xdr:colOff>3809</xdr:colOff>
      <xdr:row>130</xdr:row>
      <xdr:rowOff>272415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F312FF03-B2BC-4B10-9ADB-773C77F8E0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B3957958-C03E-456C-925F-9BD574A42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155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4" name="Imagen 3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F4C91819-9C7D-4E8E-8070-7B925488ED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16</xdr:row>
      <xdr:rowOff>142873</xdr:rowOff>
    </xdr:from>
    <xdr:to>
      <xdr:col>12</xdr:col>
      <xdr:colOff>238125</xdr:colOff>
      <xdr:row>123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CE6C1AA-61E7-4AE6-944E-7C551B3FC4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2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españoles x cate'!$B$3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F71BC7C3-6684-4714-A6D1-8223AD0694D0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Viajeros españoles entrados en los hoteles y apartamentos de Santiago del Teide por tipología y categoría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0.041</cdr:x>
      <cdr:y>0.26031</cdr:y>
    </cdr:from>
    <cdr:to>
      <cdr:x>0.24854</cdr:x>
      <cdr:y>0.41201</cdr:y>
    </cdr:to>
    <cdr:sp macro="" textlink="'distribución españoles x cate'!$AA$19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85A1103-5FB5-B2C6-21B1-F6862E0BCB8F}"/>
            </a:ext>
          </a:extLst>
        </cdr:cNvPr>
        <cdr:cNvSpPr txBox="1"/>
      </cdr:nvSpPr>
      <cdr:spPr>
        <a:xfrm xmlns:a="http://schemas.openxmlformats.org/drawingml/2006/main">
          <a:off x="347469" y="1319893"/>
          <a:ext cx="1758710" cy="769191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1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D24D9A57-6BDE-4FF9-BFFC-01600462B1D2}" type="TxLink">
            <a:rPr lang="en-US" sz="1400" b="0" i="0" u="none" strike="noStrike">
              <a:solidFill>
                <a:schemeClr val="accent6">
                  <a:lumMod val="75000"/>
                </a:schemeClr>
              </a:solidFill>
              <a:latin typeface="Calibri"/>
              <a:ea typeface="Calibri"/>
              <a:cs typeface="Calibri"/>
            </a:rPr>
            <a:pPr algn="ctr"/>
            <a:t>Hoteles: 
18.906 viajeros 
cuota: 71,2%</a:t>
          </a:fld>
          <a:endParaRPr lang="es-ES" sz="140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0.77039</cdr:x>
      <cdr:y>0.19841</cdr:y>
    </cdr:from>
    <cdr:to>
      <cdr:x>0.98376</cdr:x>
      <cdr:y>0.34296</cdr:y>
    </cdr:to>
    <cdr:sp macro="" textlink="'distribución españoles x cate'!$AA$20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621E849B-B2E6-1154-D44C-15561EF878B3}"/>
            </a:ext>
          </a:extLst>
        </cdr:cNvPr>
        <cdr:cNvSpPr txBox="1"/>
      </cdr:nvSpPr>
      <cdr:spPr>
        <a:xfrm xmlns:a="http://schemas.openxmlformats.org/drawingml/2006/main">
          <a:off x="6528359" y="1005667"/>
          <a:ext cx="1808114" cy="732662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4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1B227F2D-33F7-4897-8363-626781F97EAE}" type="TxLink">
            <a:rPr lang="en-US" sz="1400" b="0" i="0" u="none" strike="noStrike">
              <a:solidFill>
                <a:schemeClr val="accent4"/>
              </a:solidFill>
              <a:latin typeface="Calibri"/>
              <a:ea typeface="+mn-ea"/>
              <a:cs typeface="Calibri"/>
            </a:rPr>
            <a:pPr marL="0" indent="0" algn="ctr"/>
            <a:t>Apartamentos: 
7.633 viajeros
cuota: 28,8%</a:t>
          </a:fld>
          <a:endParaRPr lang="es-ES" sz="1400" b="0" i="0" u="none" strike="noStrike">
            <a:solidFill>
              <a:schemeClr val="accent4"/>
            </a:solidFill>
            <a:latin typeface="Calibri"/>
            <a:ea typeface="+mn-ea"/>
            <a:cs typeface="Calibri"/>
          </a:endParaRPr>
        </a:p>
      </cdr:txBody>
    </cdr:sp>
  </cdr:relSizeAnchor>
</c:userShapes>
</file>

<file path=xl/drawings/drawing113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14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608964</xdr:colOff>
      <xdr:row>23</xdr:row>
      <xdr:rowOff>95885</xdr:rowOff>
    </xdr:from>
    <xdr:to>
      <xdr:col>25</xdr:col>
      <xdr:colOff>3809</xdr:colOff>
      <xdr:row>130</xdr:row>
      <xdr:rowOff>272415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79C8A64D-2641-4B70-9E5B-0EE04DB507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604552D3-E237-4EED-B934-E9E2F2BBE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155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4" name="Imagen 3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84F6F9EB-9187-47E6-B018-F03427AC8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16</xdr:row>
      <xdr:rowOff>142873</xdr:rowOff>
    </xdr:from>
    <xdr:to>
      <xdr:col>12</xdr:col>
      <xdr:colOff>238125</xdr:colOff>
      <xdr:row>123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CF4FC3A-A819-486D-8A5B-CFC42CB1AF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5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peninsulare x cate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peninsulares entrados en hoteles y apartamentos de Tenerife por lugar categoría del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0.041</cdr:x>
      <cdr:y>0.26031</cdr:y>
    </cdr:from>
    <cdr:to>
      <cdr:x>0.24854</cdr:x>
      <cdr:y>0.41201</cdr:y>
    </cdr:to>
    <cdr:sp macro="" textlink="'distribución peninsulare x cate'!$AA$19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85A1103-5FB5-B2C6-21B1-F6862E0BCB8F}"/>
            </a:ext>
          </a:extLst>
        </cdr:cNvPr>
        <cdr:cNvSpPr txBox="1"/>
      </cdr:nvSpPr>
      <cdr:spPr>
        <a:xfrm xmlns:a="http://schemas.openxmlformats.org/drawingml/2006/main">
          <a:off x="347469" y="1319893"/>
          <a:ext cx="1758710" cy="769191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1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D24D9A57-6BDE-4FF9-BFFC-01600462B1D2}" type="TxLink">
            <a:rPr lang="en-US" sz="1400" b="0" i="0" u="none" strike="noStrike">
              <a:solidFill>
                <a:schemeClr val="accent6">
                  <a:lumMod val="75000"/>
                </a:schemeClr>
              </a:solidFill>
              <a:latin typeface="Calibri"/>
              <a:ea typeface="Calibri"/>
              <a:cs typeface="Calibri"/>
            </a:rPr>
            <a:pPr algn="ctr"/>
            <a:t>Hoteles: 
6.935 viajeros 
cuota: 67,7%</a:t>
          </a:fld>
          <a:endParaRPr lang="es-ES" sz="140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0.77039</cdr:x>
      <cdr:y>0.19841</cdr:y>
    </cdr:from>
    <cdr:to>
      <cdr:x>0.98376</cdr:x>
      <cdr:y>0.34296</cdr:y>
    </cdr:to>
    <cdr:sp macro="" textlink="'distribución peninsulare x cate'!$AA$20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621E849B-B2E6-1154-D44C-15561EF878B3}"/>
            </a:ext>
          </a:extLst>
        </cdr:cNvPr>
        <cdr:cNvSpPr txBox="1"/>
      </cdr:nvSpPr>
      <cdr:spPr>
        <a:xfrm xmlns:a="http://schemas.openxmlformats.org/drawingml/2006/main">
          <a:off x="6528359" y="1005667"/>
          <a:ext cx="1808114" cy="732662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4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1B227F2D-33F7-4897-8363-626781F97EAE}" type="TxLink">
            <a:rPr lang="en-US" sz="1400" b="0" i="0" u="none" strike="noStrike">
              <a:solidFill>
                <a:schemeClr val="accent4"/>
              </a:solidFill>
              <a:latin typeface="Calibri"/>
              <a:ea typeface="+mn-ea"/>
              <a:cs typeface="Calibri"/>
            </a:rPr>
            <a:pPr marL="0" indent="0" algn="ctr"/>
            <a:t>Apartamentos: 
3.313 viajeros
cuota: 32,3%</a:t>
          </a:fld>
          <a:endParaRPr lang="es-ES" sz="1400" b="0" i="0" u="none" strike="noStrike">
            <a:solidFill>
              <a:schemeClr val="accent4"/>
            </a:solidFill>
            <a:latin typeface="Calibri"/>
            <a:ea typeface="+mn-ea"/>
            <a:cs typeface="Calibri"/>
          </a:endParaRPr>
        </a:p>
      </cdr:txBody>
    </cdr:sp>
  </cdr:relSizeAnchor>
</c:userShapes>
</file>

<file path=xl/drawings/drawing116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17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608964</xdr:colOff>
      <xdr:row>23</xdr:row>
      <xdr:rowOff>95885</xdr:rowOff>
    </xdr:from>
    <xdr:to>
      <xdr:col>25</xdr:col>
      <xdr:colOff>3809</xdr:colOff>
      <xdr:row>130</xdr:row>
      <xdr:rowOff>272415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E753C46F-FCD4-4A19-91C8-9E2320805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118324CF-0AFA-47A4-9F81-080CB6C96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155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4" name="Imagen 3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597E53BA-E0C7-45C5-A7CB-A3DB892FC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16</xdr:row>
      <xdr:rowOff>142873</xdr:rowOff>
    </xdr:from>
    <xdr:to>
      <xdr:col>12</xdr:col>
      <xdr:colOff>238125</xdr:colOff>
      <xdr:row>123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D472F12-AEFE-48A0-9780-68354B019A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8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canarios x cate'!$B$3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6DD7FDF9-C129-4B73-A2D8-1D48F8148B42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Viajeros canarios entrados en los hoteles y apartamentos de Santiago del Teide por tipología y categoría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0.041</cdr:x>
      <cdr:y>0.26031</cdr:y>
    </cdr:from>
    <cdr:to>
      <cdr:x>0.24854</cdr:x>
      <cdr:y>0.41201</cdr:y>
    </cdr:to>
    <cdr:sp macro="" textlink="'distribución canarios x cate'!$AA$19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85A1103-5FB5-B2C6-21B1-F6862E0BCB8F}"/>
            </a:ext>
          </a:extLst>
        </cdr:cNvPr>
        <cdr:cNvSpPr txBox="1"/>
      </cdr:nvSpPr>
      <cdr:spPr>
        <a:xfrm xmlns:a="http://schemas.openxmlformats.org/drawingml/2006/main">
          <a:off x="347469" y="1319893"/>
          <a:ext cx="1758710" cy="769191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1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D24D9A57-6BDE-4FF9-BFFC-01600462B1D2}" type="TxLink">
            <a:rPr lang="en-US" sz="1400" b="0" i="0" u="none" strike="noStrike">
              <a:solidFill>
                <a:schemeClr val="accent6">
                  <a:lumMod val="75000"/>
                </a:schemeClr>
              </a:solidFill>
              <a:latin typeface="Calibri"/>
              <a:ea typeface="Calibri"/>
              <a:cs typeface="Calibri"/>
            </a:rPr>
            <a:pPr algn="ctr"/>
            <a:t>Hoteles: 
11.971 viajeros 
cuota: 73,5%</a:t>
          </a:fld>
          <a:endParaRPr lang="es-ES" sz="140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0.77039</cdr:x>
      <cdr:y>0.19841</cdr:y>
    </cdr:from>
    <cdr:to>
      <cdr:x>0.98376</cdr:x>
      <cdr:y>0.34296</cdr:y>
    </cdr:to>
    <cdr:sp macro="" textlink="'distribución canarios x cate'!$AA$20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621E849B-B2E6-1154-D44C-15561EF878B3}"/>
            </a:ext>
          </a:extLst>
        </cdr:cNvPr>
        <cdr:cNvSpPr txBox="1"/>
      </cdr:nvSpPr>
      <cdr:spPr>
        <a:xfrm xmlns:a="http://schemas.openxmlformats.org/drawingml/2006/main">
          <a:off x="6528359" y="1005667"/>
          <a:ext cx="1808114" cy="732662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4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1B227F2D-33F7-4897-8363-626781F97EAE}" type="TxLink">
            <a:rPr lang="en-US" sz="1400" b="0" i="0" u="none" strike="noStrike">
              <a:solidFill>
                <a:schemeClr val="accent4"/>
              </a:solidFill>
              <a:latin typeface="Calibri"/>
              <a:ea typeface="+mn-ea"/>
              <a:cs typeface="Calibri"/>
            </a:rPr>
            <a:pPr marL="0" indent="0" algn="ctr"/>
            <a:t>Apartamentos: 
4.320 viajeros
cuota: 26,5%</a:t>
          </a:fld>
          <a:endParaRPr lang="es-ES" sz="1400" b="0" i="0" u="none" strike="noStrike">
            <a:solidFill>
              <a:schemeClr val="accent4"/>
            </a:solidFill>
            <a:latin typeface="Calibri"/>
            <a:ea typeface="+mn-ea"/>
            <a:cs typeface="Calibri"/>
          </a:endParaRPr>
        </a:p>
      </cdr:txBody>
    </cdr:sp>
  </cdr:relSizeAnchor>
</c:userShapes>
</file>

<file path=xl/drawings/drawing119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canarios entrados en los establecimientos alojativos de Santiago del Teide 
(hotel + apartamento)</a:t>
          </a:fld>
          <a:endParaRPr lang="es-ES" sz="1100"/>
        </a:p>
      </cdr:txBody>
    </cdr:sp>
  </cdr:relSizeAnchor>
</c:userShapes>
</file>

<file path=xl/drawings/drawing120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818515</xdr:colOff>
      <xdr:row>21</xdr:row>
      <xdr:rowOff>73025</xdr:rowOff>
    </xdr:from>
    <xdr:to>
      <xdr:col>21</xdr:col>
      <xdr:colOff>59056</xdr:colOff>
      <xdr:row>125</xdr:row>
      <xdr:rowOff>15240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B78317D3-E47E-48C9-818D-763FA74F3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E555AE62-9797-40FC-B396-BA5E0882B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030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19</xdr:row>
      <xdr:rowOff>95250</xdr:rowOff>
    </xdr:from>
    <xdr:ext cx="9191626" cy="4545000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7AEED40A-E0D6-415F-95B9-7A30B5A7FE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5" name="Imagen 4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EBCA0473-E933-4CC6-B345-22561B0DE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20</xdr:row>
      <xdr:rowOff>142873</xdr:rowOff>
    </xdr:from>
    <xdr:to>
      <xdr:col>12</xdr:col>
      <xdr:colOff>76200</xdr:colOff>
      <xdr:row>127</xdr:row>
      <xdr:rowOff>180974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9AE18B8-A663-48B7-93BB-02D462495E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1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españoles x mun al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españoles entrados en hoteles y apartamentos de Tenerife por municipio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</c:userShapes>
</file>

<file path=xl/drawings/drawing122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23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24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818515</xdr:colOff>
      <xdr:row>21</xdr:row>
      <xdr:rowOff>73025</xdr:rowOff>
    </xdr:from>
    <xdr:to>
      <xdr:col>21</xdr:col>
      <xdr:colOff>59056</xdr:colOff>
      <xdr:row>125</xdr:row>
      <xdr:rowOff>15240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7DBDD0F2-33A8-4AAA-B105-6A50871991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9E86104A-6F95-4799-8950-29698B343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030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19</xdr:row>
      <xdr:rowOff>95250</xdr:rowOff>
    </xdr:from>
    <xdr:ext cx="9191626" cy="4545000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4653C0C0-5CC8-484A-838E-2186D8AEF9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5" name="Imagen 4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ED79D577-C46F-4F55-9E68-4DEE4C8B8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20</xdr:row>
      <xdr:rowOff>142873</xdr:rowOff>
    </xdr:from>
    <xdr:to>
      <xdr:col>12</xdr:col>
      <xdr:colOff>76200</xdr:colOff>
      <xdr:row>127</xdr:row>
      <xdr:rowOff>180974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EAD0D90-38F2-4991-AD89-4DFAF178EC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5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peninsula x munici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peninsulares entrados en hoteles y apartamentos de Tenerife por municipio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</c:userShapes>
</file>

<file path=xl/drawings/drawing126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27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28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818515</xdr:colOff>
      <xdr:row>21</xdr:row>
      <xdr:rowOff>73025</xdr:rowOff>
    </xdr:from>
    <xdr:to>
      <xdr:col>21</xdr:col>
      <xdr:colOff>59056</xdr:colOff>
      <xdr:row>125</xdr:row>
      <xdr:rowOff>15240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CBA57552-B0E5-4402-B3F0-B2DC559B4C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B30AC7DA-F1B8-41C7-8F6E-390E08107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030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19</xdr:row>
      <xdr:rowOff>95250</xdr:rowOff>
    </xdr:from>
    <xdr:ext cx="9191626" cy="4545000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21E5F8C9-B579-4FCB-855A-697D0BD68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5" name="Imagen 4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4ED9CD0C-41BC-4945-9284-E75F421CF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20</xdr:row>
      <xdr:rowOff>142873</xdr:rowOff>
    </xdr:from>
    <xdr:to>
      <xdr:col>12</xdr:col>
      <xdr:colOff>76200</xdr:colOff>
      <xdr:row>127</xdr:row>
      <xdr:rowOff>180974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E9C3757-AD66-43BE-AB08-BE20D24AE6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9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canarias x munici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canarios entrados en hoteles y apartamentos de Tenerife por municipio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F9576AC-CD66-4AF4-9D7A-6723A4F689D7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extranjeros entrados en los establecimientos alojativos de Santiago del Teide 
(hotel + apartamento)</a:t>
          </a:fld>
          <a:endParaRPr lang="es-ES" sz="1100"/>
        </a:p>
      </cdr:txBody>
    </cdr:sp>
  </cdr:relSizeAnchor>
</c:userShapes>
</file>

<file path=xl/drawings/drawing130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31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3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457199</xdr:colOff>
      <xdr:row>2</xdr:row>
      <xdr:rowOff>114299</xdr:rowOff>
    </xdr:from>
    <xdr:to>
      <xdr:col>15</xdr:col>
      <xdr:colOff>355199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2EC5956-C618-45CF-A54D-6A825011F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44E0643-4C6D-497F-8683-3387B6A37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CBF7996-2C2E-47A6-BFBB-2FA13F1FC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3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volución anual viaj ent españo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españoles entrados en los establecimientos alojativos de Santiago del Teide
(hotel + apartamento)</a:t>
          </a:fld>
          <a:endParaRPr lang="es-ES" sz="1100"/>
        </a:p>
      </cdr:txBody>
    </cdr:sp>
  </cdr:relSizeAnchor>
</c:userShapes>
</file>

<file path=xl/drawings/drawing13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457199</xdr:colOff>
      <xdr:row>2</xdr:row>
      <xdr:rowOff>114299</xdr:rowOff>
    </xdr:from>
    <xdr:to>
      <xdr:col>15</xdr:col>
      <xdr:colOff>355199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624000E-3D21-4E4A-A23D-9B47BC9257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3708DA3-D10F-4D6B-95EF-CEA2B5645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FAE47E0-C7EB-4BCA-9632-332D7EEB6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35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volución anual viaj ent penins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peninsulares entrados en los establecimientos alojativos de Santiago del Teide
(hotel + apartamento)</a:t>
          </a:fld>
          <a:endParaRPr lang="es-ES" sz="1100"/>
        </a:p>
      </cdr:txBody>
    </cdr:sp>
  </cdr:relSizeAnchor>
</c:userShapes>
</file>

<file path=xl/drawings/drawing13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457199</xdr:colOff>
      <xdr:row>2</xdr:row>
      <xdr:rowOff>114299</xdr:rowOff>
    </xdr:from>
    <xdr:to>
      <xdr:col>15</xdr:col>
      <xdr:colOff>355199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FFBBE97-997C-4F8E-8040-5B1E75476F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C8C209-E3FE-4DDD-93B2-537639F8D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80CCFC9-F967-449F-8E24-7BB9F5BD8C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3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volución anual viaj ent canari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canarios entrados en los establecimientos alojativos de Santiago del Teide
(hotel + apartamento)</a:t>
          </a:fld>
          <a:endParaRPr lang="es-ES" sz="1100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114:$N$11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6ED3218-5B10-4EC9-977D-8A66ABDC718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británicos entrados en los establecimientos alojativos de Santiago del Teide 
(hotel + apartamento)</a:t>
          </a:fld>
          <a:endParaRPr lang="es-ES" sz="1100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0.00108</cdr:x>
      <cdr:y>0.96197</cdr:y>
    </cdr:from>
    <cdr:to>
      <cdr:x>0.51654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9525" y="4315662"/>
          <a:ext cx="4565049" cy="1706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0.9957</cdr:x>
      <cdr:y>0.12237</cdr:y>
    </cdr:to>
    <cdr:sp macro="" textlink="'Viajeros entr evol mensu TF'!$B$136:$N$13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9479"/>
          <a:ext cx="8829676" cy="5901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4CF804C-98B5-4600-8BB0-DA6FB75388B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alemanes entrados en los establecimientos alojativos de Santiago del Teide 
(hotel + apartamento)</a:t>
          </a:fld>
          <a:endParaRPr lang="es-ES" sz="1100"/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158:$N$15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franceses entrados en los establecimientos alojativos de Santiago del Teide 
(hotel + apartamento)</a:t>
          </a:fld>
          <a:endParaRPr lang="es-ES" sz="1100"/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180:$N$18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4E311B4-E254-490A-B2D1-DB87BC6D349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belgas entrados en los establecimientos alojativos de Santiago del Teide 
(hotel + apartamento)</a:t>
          </a:fld>
          <a:endParaRPr lang="es-ES" sz="1100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02:$N$20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2D9C39B-0038-4808-B660-1FFFBD54799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holandeses entrados en los establecimientos alojativos de Santiago del Teide 
(hotel + apartamento)</a:t>
          </a:fld>
          <a:endParaRPr lang="es-ES" sz="1100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24:$N$22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AF6DB970-8AF5-4ACF-8E05-A57BF76B1B5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belgas entrados en los establecimientos alojativos de Santiago del Teide 
(hotel + apartamento)</a:t>
          </a:fld>
          <a:endParaRPr lang="es-ES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361950</xdr:colOff>
      <xdr:row>2</xdr:row>
      <xdr:rowOff>133631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5CE813C-D5C6-41F6-BDD3-EF00625AB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0</xdr:colOff>
      <xdr:row>5</xdr:row>
      <xdr:rowOff>284480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9CE0FE3-8309-446A-BE4F-8CDFCA4C5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762000" cy="655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46:$N$24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E52BDA80-C0F4-4A01-9A5D-806E76A2736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daneses entrados en los establecimientos alojativos de Santiago del Teide 
(hotel + apartamento)</a:t>
          </a:fld>
          <a:endParaRPr lang="es-ES" sz="1100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68:$N$26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3FEDF55F-EC40-4CCB-8271-796B623DE44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suecos entrados en los establecimientos alojativos de Santiago del Teide 
(hotel + apartamento)</a:t>
          </a:fld>
          <a:endParaRPr lang="es-ES" sz="1100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4</xdr:row>
      <xdr:rowOff>95250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42ED6D-D6FC-4ABB-A839-50C00450A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A801279-BB5A-4C7E-914E-8313AFD56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A3CACC1-0151-4BF6-B17C-5D3103FD01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4</xdr:row>
      <xdr:rowOff>95250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C642991-78A8-43A6-BED1-44C03F32D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104775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6E8CB7B-53C7-427F-B6F4-02610AAE2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C404D6E-093B-41DB-8103-5B217D0823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82D7777-0882-4482-9F89-4D174CFBA8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7F2D7A90-C4A8-4AFB-BA74-96C528FB45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38100</xdr:colOff>
      <xdr:row>91</xdr:row>
      <xdr:rowOff>0</xdr:rowOff>
    </xdr:from>
    <xdr:to>
      <xdr:col>25</xdr:col>
      <xdr:colOff>698100</xdr:colOff>
      <xdr:row>111</xdr:row>
      <xdr:rowOff>85726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BEA7869A-CBA7-400F-9649-8163F235D3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establecimientos alojativos de Santiago del Teide 
(hotel + apartamento)</a:t>
          </a:fld>
          <a:endParaRPr lang="es-ES" sz="1100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hoteles de Santiago del Teide</a:t>
          </a:fld>
          <a:endParaRPr lang="es-ES" sz="1100"/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hoteles de 4, 5 estrellas Santiago del Teide</a:t>
          </a:fld>
          <a:endParaRPr lang="es-ES" sz="1100"/>
        </a:p>
      </cdr:txBody>
    </cdr:sp>
  </cdr:relSizeAnchor>
  <cdr:relSizeAnchor xmlns:cdr="http://schemas.openxmlformats.org/drawingml/2006/chartDrawing">
    <cdr:from>
      <cdr:x>0.01304</cdr:x>
      <cdr:y>0.91106</cdr:y>
    </cdr:from>
    <cdr:to>
      <cdr:x>0.5285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3D3C7B1-03F3-939E-B177-216861D69B8A}"/>
            </a:ext>
          </a:extLst>
        </cdr:cNvPr>
        <cdr:cNvSpPr txBox="1"/>
      </cdr:nvSpPr>
      <cdr:spPr>
        <a:xfrm xmlns:a="http://schemas.openxmlformats.org/drawingml/2006/main">
          <a:off x="107950" y="4000501"/>
          <a:ext cx="4268009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2020 no se publicó la desagregación por categorías en las Islas</a:t>
          </a: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hoteles de 1, 2, 3 estrellas Santiago del Teide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0.91106</cdr:y>
    </cdr:from>
    <cdr:to>
      <cdr:x>0.51546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1E746101-EB15-832B-6A67-4574788CA446}"/>
            </a:ext>
          </a:extLst>
        </cdr:cNvPr>
        <cdr:cNvSpPr txBox="1"/>
      </cdr:nvSpPr>
      <cdr:spPr>
        <a:xfrm xmlns:a="http://schemas.openxmlformats.org/drawingml/2006/main">
          <a:off x="0" y="4000488"/>
          <a:ext cx="4268009" cy="3905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2020 no se publicó la desagregación por categorías en las Islas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apartamentos de Santiago del Teide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1E746101-EB15-832B-6A67-4574788CA446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428624</xdr:colOff>
      <xdr:row>2</xdr:row>
      <xdr:rowOff>114299</xdr:rowOff>
    </xdr:from>
    <xdr:to>
      <xdr:col>15</xdr:col>
      <xdr:colOff>326624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6EA3054-7306-4181-B1AA-82FE64AECC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0C1CD3E-C053-4029-AAF6-B25B9F4C3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2807D00-E0C1-4576-B727-746FAA4E3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>
    <xdr:from>
      <xdr:col>4</xdr:col>
      <xdr:colOff>323850</xdr:colOff>
      <xdr:row>26</xdr:row>
      <xdr:rowOff>76200</xdr:rowOff>
    </xdr:from>
    <xdr:to>
      <xdr:col>15</xdr:col>
      <xdr:colOff>221850</xdr:colOff>
      <xdr:row>47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7A8CEBB-1A34-4C35-BEB7-D04D899D91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676275</xdr:colOff>
      <xdr:row>48</xdr:row>
      <xdr:rowOff>142875</xdr:rowOff>
    </xdr:from>
    <xdr:to>
      <xdr:col>15</xdr:col>
      <xdr:colOff>574275</xdr:colOff>
      <xdr:row>70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67EDB18-C62E-434B-B127-894C143A99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358140</xdr:colOff>
      <xdr:row>2</xdr:row>
      <xdr:rowOff>129821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EAEBE35-27DF-4FF7-ABD0-7368C2D15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2140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57150</xdr:rowOff>
    </xdr:from>
    <xdr:to>
      <xdr:col>1</xdr:col>
      <xdr:colOff>0</xdr:colOff>
      <xdr:row>5</xdr:row>
      <xdr:rowOff>364172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EA357D3-44B6-45F9-8207-05110270E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8650"/>
          <a:ext cx="762000" cy="6784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anual TF cat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entrados en los establecimientos alojativos de Santiago del Teide 
(hotel + apartamento)</a:t>
          </a:fld>
          <a:endParaRPr lang="es-ES" sz="1100"/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anual TF cat'!$B$27:$D$27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entrados en los hoteles de Santiago del Teide</a:t>
          </a:fld>
          <a:endParaRPr lang="es-ES" sz="1100"/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anual TF cat'!$B$50:$D$5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entrados en los hoteles de 4, 5 estrellas de Santiago del Teide</a:t>
          </a:fld>
          <a:endParaRPr lang="es-ES" sz="1100"/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762000</xdr:colOff>
      <xdr:row>2</xdr:row>
      <xdr:rowOff>371475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0C4CDE-0EE5-43BC-AE76-A0F4DE107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29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847725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C3A22A-CA5B-46D5-ACCF-6CF296A49C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5715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2BEA6E-B4AB-4AB7-B198-9FD4E68F6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5F0B547-B1E3-43D9-8CDB-D70D614EE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23</xdr:col>
      <xdr:colOff>396875</xdr:colOff>
      <xdr:row>2</xdr:row>
      <xdr:rowOff>95250</xdr:rowOff>
    </xdr:from>
    <xdr:to>
      <xdr:col>36</xdr:col>
      <xdr:colOff>590550</xdr:colOff>
      <xdr:row>26</xdr:row>
      <xdr:rowOff>133350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6C833935-8944-4CA7-AD6E-C950BB6165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0.94907</cdr:x>
      <cdr:y>0.0919</cdr:y>
    </cdr:to>
    <cdr:sp macro="" textlink="'viaj entrados lugar resid años '!$N$3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50902" y="53158"/>
          <a:ext cx="9534423" cy="4589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8893662F-1A51-4D1E-BD6E-6B892393596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Santiago del Teide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8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762000</xdr:colOff>
      <xdr:row>5</xdr:row>
      <xdr:rowOff>438150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907A71-3FD4-4EB7-8612-5ED4151E9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2025"/>
          <a:ext cx="7620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514350</xdr:colOff>
      <xdr:row>3</xdr:row>
      <xdr:rowOff>38100</xdr:rowOff>
    </xdr:from>
    <xdr:to>
      <xdr:col>31</xdr:col>
      <xdr:colOff>186690</xdr:colOff>
      <xdr:row>26</xdr:row>
      <xdr:rowOff>15240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40A2E87B-2018-4AD7-B678-A897C1C225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2B31EDF-512A-48DF-8A0F-CA143A7DC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cia'!$M$6:$T$6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E6B25C01-D8B5-45F5-AEF0-E4EBE0EDCB7F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Santiago del Teide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D73344-00B9-4D33-8CD2-FDA2D7D1D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4456225-AF45-44E9-8251-AE0AE1C16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25</xdr:col>
      <xdr:colOff>133350</xdr:colOff>
      <xdr:row>3</xdr:row>
      <xdr:rowOff>285750</xdr:rowOff>
    </xdr:from>
    <xdr:to>
      <xdr:col>37</xdr:col>
      <xdr:colOff>567690</xdr:colOff>
      <xdr:row>27</xdr:row>
      <xdr:rowOff>72390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42603213-0968-48DA-9C9D-339F400602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 acu'!$P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80BF2DB-21EF-4E40-A211-5A420E4ABD3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Santiago del Teide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2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1</xdr:row>
      <xdr:rowOff>180975</xdr:rowOff>
    </xdr:from>
    <xdr:to>
      <xdr:col>11</xdr:col>
      <xdr:colOff>28575</xdr:colOff>
      <xdr:row>24</xdr:row>
      <xdr:rowOff>171450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B91D2B3C-5AC9-4A62-AA34-71ACA1B64346}"/>
            </a:ext>
          </a:extLst>
        </xdr:cNvPr>
        <xdr:cNvGrpSpPr/>
      </xdr:nvGrpSpPr>
      <xdr:grpSpPr>
        <a:xfrm>
          <a:off x="638175" y="37147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6C006A1B-8988-A73C-E50A-A32B979E824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62C26B97-952E-781A-7808-ED411DC80E0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562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marL="0" indent="0" algn="ctr" rtl="0">
              <a:defRPr sz="1000"/>
            </a:pPr>
            <a:r>
              <a:rPr lang="es-ES" sz="48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Estimación oferta hoteles y apartamentos en funcionamiento</a:t>
            </a:r>
          </a:p>
        </xdr:txBody>
      </xdr:sp>
    </xdr:grp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69C474-06DC-4F5D-9E17-468682801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A5BC118-71AD-42B4-9A47-349B6A8605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23</xdr:col>
      <xdr:colOff>561975</xdr:colOff>
      <xdr:row>3</xdr:row>
      <xdr:rowOff>257175</xdr:rowOff>
    </xdr:from>
    <xdr:to>
      <xdr:col>36</xdr:col>
      <xdr:colOff>434340</xdr:colOff>
      <xdr:row>27</xdr:row>
      <xdr:rowOff>43815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C0A7AD9F-253F-403E-A54C-1F7192AAE8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0768"/>
          <a:ext cx="8033258" cy="1998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 hot'!$N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80BF2DB-21EF-4E40-A211-5A420E4ABD3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hoteles de Santiago del Teide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9C3584-B8F8-49E1-A281-F04A57484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CEA74E9-42E5-4DE9-9CD5-4D0E5448A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476250</xdr:colOff>
      <xdr:row>2</xdr:row>
      <xdr:rowOff>161925</xdr:rowOff>
    </xdr:from>
    <xdr:to>
      <xdr:col>35</xdr:col>
      <xdr:colOff>148590</xdr:colOff>
      <xdr:row>25</xdr:row>
      <xdr:rowOff>139065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22166A69-B945-4324-AFBD-8D2C50944F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 apt'!$N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80BF2DB-21EF-4E40-A211-5A420E4ABD3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apartamentos de Santiago del Teide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2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9525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700CE6-501A-4A89-A89C-811EB1CCB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858520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AEF9DDD-8322-45B6-99C6-C297F02348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6745" cy="514631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FDDC3B-4E5C-4199-A71F-167A42037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EDAA745-7525-4ACA-A367-BC350F82B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2</xdr:row>
      <xdr:rowOff>28575</xdr:rowOff>
    </xdr:from>
    <xdr:to>
      <xdr:col>11</xdr:col>
      <xdr:colOff>85725</xdr:colOff>
      <xdr:row>25</xdr:row>
      <xdr:rowOff>19050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FAA7C805-2275-4690-8F8E-59949FFD2B87}"/>
            </a:ext>
          </a:extLst>
        </xdr:cNvPr>
        <xdr:cNvGrpSpPr/>
      </xdr:nvGrpSpPr>
      <xdr:grpSpPr>
        <a:xfrm>
          <a:off x="695325" y="40957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CDACAA4E-49D6-4ED5-1E04-59A4F25DDE7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04EF275A-92AD-D4E8-306C-2248A494433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76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Viajeros alojados en hoteles y apartamentos</a:t>
            </a:r>
          </a:p>
        </xdr:txBody>
      </xdr:sp>
    </xdr:grp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438150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065B71-6766-4758-B9E2-F9B1BECC5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853440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45B4EA2-DA22-44D5-B0C7-ADB794C7BA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1665" cy="514631"/>
        </a:xfrm>
        <a:prstGeom prst="rect">
          <a:avLst/>
        </a:prstGeom>
      </xdr:spPr>
    </xdr:pic>
    <xdr:clientData/>
  </xdr:twoCellAnchor>
  <xdr:twoCellAnchor editAs="oneCell">
    <xdr:from>
      <xdr:col>18</xdr:col>
      <xdr:colOff>695325</xdr:colOff>
      <xdr:row>2</xdr:row>
      <xdr:rowOff>38100</xdr:rowOff>
    </xdr:from>
    <xdr:to>
      <xdr:col>31</xdr:col>
      <xdr:colOff>367665</xdr:colOff>
      <xdr:row>25</xdr:row>
      <xdr:rowOff>15240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726CD6BE-B21D-41A2-8620-3C677B0287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aloj lugar residen mes'!$K$5:$R$5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CE42E48-A969-4C58-9403-3DC7E77104E1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alojados en los establecimientos alojativos de Santiago del Teide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8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1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54A73C-5084-4D4E-877A-62909AF79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7D763FC-CF4D-433F-B414-D369F7AA05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24</xdr:col>
      <xdr:colOff>190499</xdr:colOff>
      <xdr:row>1</xdr:row>
      <xdr:rowOff>28575</xdr:rowOff>
    </xdr:from>
    <xdr:to>
      <xdr:col>37</xdr:col>
      <xdr:colOff>28575</xdr:colOff>
      <xdr:row>24</xdr:row>
      <xdr:rowOff>5715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35174676-8401-4E57-BCF7-8A58875CC3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8F588D-6A55-4D09-B5E0-6367D9D1B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0E5330A-2D0C-4184-B648-297BDE21C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531B157-7C9C-45F5-B7BC-6570D46328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alojados lugar residen acu'!$O$4:$X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2187FA05-E7EC-492D-8F75-A46E8AF659B7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alojados en los establecimientos alojativos de Santiago del Teide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</xdr:row>
      <xdr:rowOff>57150</xdr:rowOff>
    </xdr:from>
    <xdr:to>
      <xdr:col>11</xdr:col>
      <xdr:colOff>190500</xdr:colOff>
      <xdr:row>25</xdr:row>
      <xdr:rowOff>47625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6E88151A-4752-4521-B18B-39C200EBE2C1}"/>
            </a:ext>
          </a:extLst>
        </xdr:cNvPr>
        <xdr:cNvGrpSpPr/>
      </xdr:nvGrpSpPr>
      <xdr:grpSpPr>
        <a:xfrm>
          <a:off x="800100" y="43815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EA62091E-57D0-882B-FC80-90EB559B48D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1DB73861-4DFD-13C6-011A-DBA8C27EEEC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76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Pernoctaciones en hoteles y apartamentos</a:t>
            </a:r>
          </a:p>
        </xdr:txBody>
      </xdr:sp>
    </xdr:grp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68EF2C7-8CC7-4E08-A4F3-A259370C0D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849630</xdr:colOff>
      <xdr:row>4</xdr:row>
      <xdr:rowOff>91440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F1023A2-4415-407B-A342-EEE5059DE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3905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102870</xdr:colOff>
      <xdr:row>2</xdr:row>
      <xdr:rowOff>129821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918D8D2-EE07-4136-BECE-57A7A03DD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4045" cy="51082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D4EEA68-63D4-4A66-9FE8-3C8306D00F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2B865D6-BF3B-4211-9619-FCA765D575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9A827562-67C6-42EC-8A64-F2A286518B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57150</xdr:colOff>
      <xdr:row>90</xdr:row>
      <xdr:rowOff>76200</xdr:rowOff>
    </xdr:from>
    <xdr:to>
      <xdr:col>25</xdr:col>
      <xdr:colOff>717150</xdr:colOff>
      <xdr:row>110</xdr:row>
      <xdr:rowOff>180976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80128B79-171E-47F7-B181-C6D4103C4F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76200</xdr:colOff>
      <xdr:row>112</xdr:row>
      <xdr:rowOff>180975</xdr:rowOff>
    </xdr:from>
    <xdr:to>
      <xdr:col>25</xdr:col>
      <xdr:colOff>736200</xdr:colOff>
      <xdr:row>133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E7B3E9ED-2355-4A23-8FEE-F65AC745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38100</xdr:colOff>
      <xdr:row>135</xdr:row>
      <xdr:rowOff>0</xdr:rowOff>
    </xdr:from>
    <xdr:to>
      <xdr:col>25</xdr:col>
      <xdr:colOff>698100</xdr:colOff>
      <xdr:row>155</xdr:row>
      <xdr:rowOff>104776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376AE0C1-904B-4AC9-ACB0-49B35519BA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38100</xdr:colOff>
      <xdr:row>156</xdr:row>
      <xdr:rowOff>171450</xdr:rowOff>
    </xdr:from>
    <xdr:to>
      <xdr:col>25</xdr:col>
      <xdr:colOff>698100</xdr:colOff>
      <xdr:row>177</xdr:row>
      <xdr:rowOff>85726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C661337E-4DD2-48EF-A015-05D3E0C50C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752475</xdr:colOff>
      <xdr:row>179</xdr:row>
      <xdr:rowOff>104775</xdr:rowOff>
    </xdr:from>
    <xdr:to>
      <xdr:col>25</xdr:col>
      <xdr:colOff>650475</xdr:colOff>
      <xdr:row>200</xdr:row>
      <xdr:rowOff>19051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FA5E22B-6012-4240-B7B9-8E68BAF8C4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609600</xdr:colOff>
      <xdr:row>201</xdr:row>
      <xdr:rowOff>0</xdr:rowOff>
    </xdr:from>
    <xdr:to>
      <xdr:col>25</xdr:col>
      <xdr:colOff>507600</xdr:colOff>
      <xdr:row>221</xdr:row>
      <xdr:rowOff>104776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1237AA24-E7AC-4535-BE06-6D203B3258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19050</xdr:colOff>
      <xdr:row>223</xdr:row>
      <xdr:rowOff>0</xdr:rowOff>
    </xdr:from>
    <xdr:to>
      <xdr:col>25</xdr:col>
      <xdr:colOff>679050</xdr:colOff>
      <xdr:row>243</xdr:row>
      <xdr:rowOff>66676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1FC584E9-5972-428F-8127-5CB39D61A5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0</xdr:colOff>
      <xdr:row>249</xdr:row>
      <xdr:rowOff>0</xdr:rowOff>
    </xdr:from>
    <xdr:to>
      <xdr:col>25</xdr:col>
      <xdr:colOff>660000</xdr:colOff>
      <xdr:row>269</xdr:row>
      <xdr:rowOff>104776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A8DE7FEA-3FEA-45E3-98AE-B83DD9F875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establecimientos alojativos de Santiago del Teide (hotel + apartamento)</a:t>
          </a:fld>
          <a:endParaRPr lang="es-ES" sz="1100"/>
        </a:p>
      </cdr:txBody>
    </cdr:sp>
  </cdr:relSizeAnchor>
</c:userShapes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españoles en los establecimientos alojativos de Santiago del Teide (hotel + apartamento)</a:t>
          </a:fld>
          <a:endParaRPr lang="es-ES" sz="1100"/>
        </a:p>
      </cdr:txBody>
    </cdr:sp>
  </cdr:relSizeAnchor>
</c:userShapes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Península en los establecimientos alojativos de Santiago del Teide (hotel + apartamento)</a:t>
          </a:fld>
          <a:endParaRPr lang="es-ES" sz="1100"/>
        </a:p>
      </cdr:txBody>
    </cdr:sp>
  </cdr:relSizeAnchor>
</c:userShapes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Canarias en los establecimientos alojativos de Santiago del Teide (hotel + apartamento)</a:t>
          </a:fld>
          <a:endParaRPr lang="es-ES" sz="1100"/>
        </a:p>
      </cdr:txBody>
    </cdr:sp>
  </cdr:relSizeAnchor>
</c:userShapes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F9576AC-CD66-4AF4-9D7A-6723A4F689D7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Total residentes en el extranjero en los establecimientos alojativos de Santiago del Teide (hotel + apartamento)</a:t>
          </a:fld>
          <a:endParaRPr lang="es-ES" sz="1100"/>
        </a:p>
      </cdr:txBody>
    </cdr:sp>
  </cdr:relSizeAnchor>
</c:userShapes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14:$N$11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6ED3218-5B10-4EC9-977D-8A66ABDC718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Reino Unido en los establecimientos alojativos de Santiago del Teide (hotel + apartamento)</a:t>
          </a:fld>
          <a:endParaRPr lang="es-ES" sz="1100"/>
        </a:p>
      </cdr:txBody>
    </cdr:sp>
  </cdr:relSizeAnchor>
</c:userShapes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36:$N$13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4CF804C-98B5-4600-8BB0-DA6FB75388B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Alemania en los establecimientos alojativos de Santiago del Teide (hotel + apartamento)</a:t>
          </a:fld>
          <a:endParaRPr lang="es-ES" sz="11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3097F0-C6AC-4368-AF07-343D09846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5EC9647-C0CB-4AC4-BE27-DF40BC43C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E44CC9D-7015-4995-833D-DD52045D65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58:$N$15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Francia en los establecimientos alojativos de Santiago del Teide (hotel + apartamento)</a:t>
          </a:fld>
          <a:endParaRPr lang="es-ES" sz="1100"/>
        </a:p>
      </cdr:txBody>
    </cdr:sp>
  </cdr:relSizeAnchor>
</c:userShapes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80:$N$18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4E311B4-E254-490A-B2D1-DB87BC6D349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Bélgica en los establecimientos alojativos de Santiago del Teide (hotel + apartamento)</a:t>
          </a:fld>
          <a:endParaRPr lang="es-ES" sz="1100"/>
        </a:p>
      </cdr:txBody>
    </cdr:sp>
  </cdr:relSizeAnchor>
</c:userShapes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02:$N$20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2D9C39B-0038-4808-B660-1FFFBD54799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Países Bajos en los establecimientos alojativos de Santiago del Teide (hotel + apartamento)</a:t>
          </a:fld>
          <a:endParaRPr lang="es-ES" sz="1100"/>
        </a:p>
      </cdr:txBody>
    </cdr:sp>
  </cdr:relSizeAnchor>
</c:userShapes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24:$N$22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99087FA-C4E9-4D1C-A811-CCBF4BDBA11C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Dinamarca en los establecimientos alojativos de Santiago del Teide (hotel + apartamento)</a:t>
          </a:fld>
          <a:endParaRPr lang="es-ES" sz="1100"/>
        </a:p>
      </cdr:txBody>
    </cdr:sp>
  </cdr:relSizeAnchor>
</c:userShapes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50:$N$25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2BE389B-CCFC-40C6-BAAE-B88837C1348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Suecia en los establecimientos alojativos de Santiago del Teide (hotel + apartamento)</a:t>
          </a:fld>
          <a:endParaRPr lang="es-ES" sz="1100"/>
        </a:p>
      </cdr:txBody>
    </cdr:sp>
  </cdr:relSizeAnchor>
</c:userShapes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F94658F-AEA7-47CD-8709-C75EB9F460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853440</xdr:colOff>
      <xdr:row>4</xdr:row>
      <xdr:rowOff>95250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A4FC7AB-924C-4F3E-9F6E-3EA825772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771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93345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25D56B4-C58C-44C7-B483-BC798CC6C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4520" cy="51463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2EF17C2-A919-49F5-8BED-6794D75ADE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4B8883D-26C9-4794-B22A-B83CEB0698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119D8FD6-EDE5-4DC0-BF9B-BC13F187D3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38100</xdr:colOff>
      <xdr:row>91</xdr:row>
      <xdr:rowOff>0</xdr:rowOff>
    </xdr:from>
    <xdr:to>
      <xdr:col>25</xdr:col>
      <xdr:colOff>698100</xdr:colOff>
      <xdr:row>111</xdr:row>
      <xdr:rowOff>85726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3CA2A5DC-DA71-43E8-888D-BBC11ED5F0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establecimientos alojativos de Santiago del Teide (hotel + apartamento)</a:t>
          </a:fld>
          <a:endParaRPr lang="es-ES" sz="1100"/>
        </a:p>
      </cdr:txBody>
    </cdr:sp>
  </cdr:relSizeAnchor>
</c:userShapes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hoteles de Santiago del Teide</a:t>
          </a:fld>
          <a:endParaRPr lang="es-ES" sz="1100"/>
        </a:p>
      </cdr:txBody>
    </cdr:sp>
  </cdr:relSizeAnchor>
</c:userShapes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hoteles de 4 y 5 estrellas de Santiago del Teide</a:t>
          </a:fld>
          <a:endParaRPr lang="es-ES" sz="1100"/>
        </a:p>
      </cdr:txBody>
    </cdr:sp>
  </cdr:relSizeAnchor>
  <cdr:relSizeAnchor xmlns:cdr="http://schemas.openxmlformats.org/drawingml/2006/chartDrawing">
    <cdr:from>
      <cdr:x>0.01304</cdr:x>
      <cdr:y>0.91106</cdr:y>
    </cdr:from>
    <cdr:to>
      <cdr:x>0.5285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3D3C7B1-03F3-939E-B177-216861D69B8A}"/>
            </a:ext>
          </a:extLst>
        </cdr:cNvPr>
        <cdr:cNvSpPr txBox="1"/>
      </cdr:nvSpPr>
      <cdr:spPr>
        <a:xfrm xmlns:a="http://schemas.openxmlformats.org/drawingml/2006/main">
          <a:off x="107950" y="4000501"/>
          <a:ext cx="4268009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2022 no se publicó la desagregación por categorías en las Islas</a:t>
          </a:r>
        </a:p>
      </cdr:txBody>
    </cdr:sp>
  </cdr:relSizeAnchor>
</c:userShapes>
</file>

<file path=xl/drawings/drawing6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hoteles de 1, 2, 3 estrellas de Santiago del Teide</a:t>
          </a:fld>
          <a:endParaRPr lang="es-ES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161925</xdr:rowOff>
    </xdr:from>
    <xdr:to>
      <xdr:col>11</xdr:col>
      <xdr:colOff>180975</xdr:colOff>
      <xdr:row>24</xdr:row>
      <xdr:rowOff>152400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81650308-3FE4-47ED-862A-7331DEF46D6B}"/>
            </a:ext>
          </a:extLst>
        </xdr:cNvPr>
        <xdr:cNvGrpSpPr/>
      </xdr:nvGrpSpPr>
      <xdr:grpSpPr>
        <a:xfrm>
          <a:off x="790575" y="35242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A3FA58AB-6E7F-AE86-BB9C-48CAC9D6B95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27D5BDA1-34D0-DBAD-11E4-24D1754E885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575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Viajeros entrados en hoteles y apartamentos</a:t>
            </a:r>
          </a:p>
        </xdr:txBody>
      </xdr:sp>
    </xdr:grpSp>
    <xdr:clientData/>
  </xdr:twoCellAnchor>
</xdr:wsDr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apartamentos de Santiago del Teide</a:t>
          </a:fld>
          <a:endParaRPr lang="es-ES" sz="1100"/>
        </a:p>
      </cdr:txBody>
    </cdr:sp>
  </cdr:relSizeAnchor>
</c:userShapes>
</file>

<file path=xl/drawings/drawing7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A0B4CE-28E7-4866-AFED-817224395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A30F4A-A7F8-4727-BE1D-9235DD564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5715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563ED5-B5E2-4A66-8633-F81A795B7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5B6C093-607C-4ABF-A9EE-60DEEF7DB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3321D5-1F07-4FBD-A6FD-BA3396BFC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8420EAC-CFD7-40CE-8582-037616BF06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0</xdr:rowOff>
    </xdr:from>
    <xdr:to>
      <xdr:col>11</xdr:col>
      <xdr:colOff>161925</xdr:colOff>
      <xdr:row>25</xdr:row>
      <xdr:rowOff>180975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AB354F3D-0120-4999-96A8-A253BF4C85B7}"/>
            </a:ext>
          </a:extLst>
        </xdr:cNvPr>
        <xdr:cNvGrpSpPr/>
      </xdr:nvGrpSpPr>
      <xdr:grpSpPr>
        <a:xfrm>
          <a:off x="771525" y="57150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9C785A40-BE80-BA84-18AB-7257A043F81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4C7400E7-7399-EB76-2FFA-C5F8DA53900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38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Estancia media en hoteles y apartamentos</a:t>
            </a:r>
          </a:p>
        </xdr:txBody>
      </xdr:sp>
    </xdr:grpSp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E6DC6F7-994E-4D10-BD02-6D25B95795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857250</xdr:colOff>
      <xdr:row>4</xdr:row>
      <xdr:rowOff>91440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6DA269-D158-41B1-A730-8FCF2AB19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71525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97155</xdr:colOff>
      <xdr:row>2</xdr:row>
      <xdr:rowOff>129821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EF91C74-94DC-46B6-A004-C94816279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8330" cy="51082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7735A76-0B4A-4065-B227-508B8C83B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26</xdr:col>
      <xdr:colOff>9525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12EDB68-3C6F-4493-9E27-C69D4A7E16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9BC1D6C1-210E-4C1B-B750-D86DE12F84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57150</xdr:colOff>
      <xdr:row>90</xdr:row>
      <xdr:rowOff>76200</xdr:rowOff>
    </xdr:from>
    <xdr:to>
      <xdr:col>25</xdr:col>
      <xdr:colOff>717150</xdr:colOff>
      <xdr:row>110</xdr:row>
      <xdr:rowOff>180976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D364688D-2DCF-45BF-833B-2946ED9BF9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76200</xdr:colOff>
      <xdr:row>112</xdr:row>
      <xdr:rowOff>180975</xdr:rowOff>
    </xdr:from>
    <xdr:to>
      <xdr:col>25</xdr:col>
      <xdr:colOff>736200</xdr:colOff>
      <xdr:row>133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CE4E9E41-2370-46F2-BB94-ABFCB0B54C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285749</xdr:colOff>
      <xdr:row>134</xdr:row>
      <xdr:rowOff>66676</xdr:rowOff>
    </xdr:from>
    <xdr:to>
      <xdr:col>26</xdr:col>
      <xdr:colOff>28575</xdr:colOff>
      <xdr:row>154</xdr:row>
      <xdr:rowOff>9526</xdr:rowOff>
    </xdr:to>
    <xdr:graphicFrame macro="">
      <xdr:nvGraphicFramePr>
        <xdr:cNvPr id="10" name="Gráfico 40">
          <a:extLst>
            <a:ext uri="{FF2B5EF4-FFF2-40B4-BE49-F238E27FC236}">
              <a16:creationId xmlns:a16="http://schemas.microsoft.com/office/drawing/2014/main" id="{93BA6DA3-1C95-4DF1-A03A-BDF573D0DB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0</xdr:colOff>
      <xdr:row>157</xdr:row>
      <xdr:rowOff>323850</xdr:rowOff>
    </xdr:from>
    <xdr:to>
      <xdr:col>25</xdr:col>
      <xdr:colOff>664762</xdr:colOff>
      <xdr:row>179</xdr:row>
      <xdr:rowOff>57151</xdr:rowOff>
    </xdr:to>
    <xdr:graphicFrame macro="">
      <xdr:nvGraphicFramePr>
        <xdr:cNvPr id="11" name="Gráfico 41">
          <a:extLst>
            <a:ext uri="{FF2B5EF4-FFF2-40B4-BE49-F238E27FC236}">
              <a16:creationId xmlns:a16="http://schemas.microsoft.com/office/drawing/2014/main" id="{423B152E-5B7C-42CE-A92A-ED9F096C4A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752475</xdr:colOff>
      <xdr:row>179</xdr:row>
      <xdr:rowOff>104775</xdr:rowOff>
    </xdr:from>
    <xdr:to>
      <xdr:col>25</xdr:col>
      <xdr:colOff>650475</xdr:colOff>
      <xdr:row>200</xdr:row>
      <xdr:rowOff>19051</xdr:rowOff>
    </xdr:to>
    <xdr:graphicFrame macro="">
      <xdr:nvGraphicFramePr>
        <xdr:cNvPr id="12" name="Gráfico 43">
          <a:extLst>
            <a:ext uri="{FF2B5EF4-FFF2-40B4-BE49-F238E27FC236}">
              <a16:creationId xmlns:a16="http://schemas.microsoft.com/office/drawing/2014/main" id="{9E2FD1AA-CA1D-4EFD-93B8-1C0B695370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609600</xdr:colOff>
      <xdr:row>201</xdr:row>
      <xdr:rowOff>0</xdr:rowOff>
    </xdr:from>
    <xdr:to>
      <xdr:col>25</xdr:col>
      <xdr:colOff>507600</xdr:colOff>
      <xdr:row>221</xdr:row>
      <xdr:rowOff>104776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813B76D8-A564-41F3-93BD-D341EC5869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0</xdr:colOff>
      <xdr:row>223</xdr:row>
      <xdr:rowOff>0</xdr:rowOff>
    </xdr:from>
    <xdr:to>
      <xdr:col>25</xdr:col>
      <xdr:colOff>660000</xdr:colOff>
      <xdr:row>243</xdr:row>
      <xdr:rowOff>104776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B3DB1D69-1C53-4BD0-9EEB-496A5C905E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0</xdr:colOff>
      <xdr:row>245</xdr:row>
      <xdr:rowOff>0</xdr:rowOff>
    </xdr:from>
    <xdr:to>
      <xdr:col>25</xdr:col>
      <xdr:colOff>660000</xdr:colOff>
      <xdr:row>265</xdr:row>
      <xdr:rowOff>104776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A111E955-ACCA-4D47-B22C-80B533BE06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15</xdr:col>
      <xdr:colOff>0</xdr:colOff>
      <xdr:row>267</xdr:row>
      <xdr:rowOff>0</xdr:rowOff>
    </xdr:from>
    <xdr:to>
      <xdr:col>25</xdr:col>
      <xdr:colOff>660000</xdr:colOff>
      <xdr:row>287</xdr:row>
      <xdr:rowOff>104776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38674456-47E7-4242-8559-6E4B46F82D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7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0.00373</cdr:x>
      <cdr:y>0.00391</cdr:y>
    </cdr:from>
    <cdr:to>
      <cdr:x>0.97796</cdr:x>
      <cdr:y>0.1721</cdr:y>
    </cdr:to>
    <cdr:sp macro="" textlink="'EM evol menusual lugar resd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32657" y="16690"/>
          <a:ext cx="8533252" cy="7179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establecimientos alojativos de Santiago del Teide
(hotel + apartamento)</a:t>
          </a:fld>
          <a:endParaRPr lang="es-ES" sz="1100"/>
        </a:p>
      </cdr:txBody>
    </cdr:sp>
  </cdr:relSizeAnchor>
</c:userShapes>
</file>

<file path=xl/drawings/drawing7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0.99276</cdr:x>
      <cdr:y>0.1721</cdr:y>
    </cdr:to>
    <cdr:sp macro="" textlink="'EM evol menusual lugar resd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2007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españoles entrados en los establecimientos alojativos de Santiago del Teide (hotel + apartamento)</a:t>
          </a:fld>
          <a:endParaRPr lang="es-ES" sz="1100"/>
        </a:p>
      </cdr:txBody>
    </cdr:sp>
  </cdr:relSizeAnchor>
</c:userShapes>
</file>

<file path=xl/drawings/drawing7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0.99736</cdr:x>
      <cdr:y>0.1721</cdr:y>
    </cdr:to>
    <cdr:sp macro="" textlink="'EM evol menusual lugar resd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5817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peninsulares entrados en los establecimientos alojativos de Santiago del Teide (hotel + apartamento)</a:t>
          </a:fld>
          <a:endParaRPr lang="es-ES" sz="1100"/>
        </a:p>
      </cdr:txBody>
    </cdr:sp>
  </cdr:relSizeAnchor>
</c:userShapes>
</file>

<file path=xl/drawings/drawing7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canarios entrados en los establecimientos alojativos de Santiago del Teide (hotel + apartamento)</a:t>
          </a:fld>
          <a:endParaRPr lang="es-ES" sz="1100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AF72050-10D6-4A8D-BF0A-E764A24525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857250</xdr:colOff>
      <xdr:row>4</xdr:row>
      <xdr:rowOff>91440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10D6BE6-43E5-4F27-953E-C7614F5DB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71525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97155</xdr:colOff>
      <xdr:row>2</xdr:row>
      <xdr:rowOff>129821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23824A6-1F6D-4B9E-BEA5-C64F019A0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8330" cy="51082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D81C364-85C7-4F29-BBF6-FCFBB92C68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E4BD700-FC4C-401A-BE25-6661001835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397571A8-17FF-4ED9-B01B-2B74850792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57150</xdr:colOff>
      <xdr:row>90</xdr:row>
      <xdr:rowOff>76200</xdr:rowOff>
    </xdr:from>
    <xdr:to>
      <xdr:col>25</xdr:col>
      <xdr:colOff>717150</xdr:colOff>
      <xdr:row>110</xdr:row>
      <xdr:rowOff>180976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2FA299D-2A22-4557-858D-95AC6CF071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76200</xdr:colOff>
      <xdr:row>112</xdr:row>
      <xdr:rowOff>180975</xdr:rowOff>
    </xdr:from>
    <xdr:to>
      <xdr:col>25</xdr:col>
      <xdr:colOff>736200</xdr:colOff>
      <xdr:row>133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A4E08C5B-D8F7-4B0C-B1A1-093566F0B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619124</xdr:colOff>
      <xdr:row>134</xdr:row>
      <xdr:rowOff>95251</xdr:rowOff>
    </xdr:from>
    <xdr:to>
      <xdr:col>26</xdr:col>
      <xdr:colOff>0</xdr:colOff>
      <xdr:row>154</xdr:row>
      <xdr:rowOff>38101</xdr:rowOff>
    </xdr:to>
    <xdr:graphicFrame macro="">
      <xdr:nvGraphicFramePr>
        <xdr:cNvPr id="10" name="Gráfico 40">
          <a:extLst>
            <a:ext uri="{FF2B5EF4-FFF2-40B4-BE49-F238E27FC236}">
              <a16:creationId xmlns:a16="http://schemas.microsoft.com/office/drawing/2014/main" id="{E508E0E0-1CA7-4EBA-8149-0AFE079327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0</xdr:colOff>
      <xdr:row>157</xdr:row>
      <xdr:rowOff>323850</xdr:rowOff>
    </xdr:from>
    <xdr:to>
      <xdr:col>25</xdr:col>
      <xdr:colOff>664762</xdr:colOff>
      <xdr:row>179</xdr:row>
      <xdr:rowOff>57151</xdr:rowOff>
    </xdr:to>
    <xdr:graphicFrame macro="">
      <xdr:nvGraphicFramePr>
        <xdr:cNvPr id="11" name="Gráfico 41">
          <a:extLst>
            <a:ext uri="{FF2B5EF4-FFF2-40B4-BE49-F238E27FC236}">
              <a16:creationId xmlns:a16="http://schemas.microsoft.com/office/drawing/2014/main" id="{F12822E1-B30E-4197-B15B-98D81BE71B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752475</xdr:colOff>
      <xdr:row>179</xdr:row>
      <xdr:rowOff>104775</xdr:rowOff>
    </xdr:from>
    <xdr:to>
      <xdr:col>25</xdr:col>
      <xdr:colOff>650475</xdr:colOff>
      <xdr:row>200</xdr:row>
      <xdr:rowOff>19051</xdr:rowOff>
    </xdr:to>
    <xdr:graphicFrame macro="">
      <xdr:nvGraphicFramePr>
        <xdr:cNvPr id="12" name="Gráfico 43">
          <a:extLst>
            <a:ext uri="{FF2B5EF4-FFF2-40B4-BE49-F238E27FC236}">
              <a16:creationId xmlns:a16="http://schemas.microsoft.com/office/drawing/2014/main" id="{836B8339-1BA4-4726-A5CE-87DF7F622E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609600</xdr:colOff>
      <xdr:row>201</xdr:row>
      <xdr:rowOff>0</xdr:rowOff>
    </xdr:from>
    <xdr:to>
      <xdr:col>25</xdr:col>
      <xdr:colOff>507600</xdr:colOff>
      <xdr:row>221</xdr:row>
      <xdr:rowOff>104776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304D6D5D-0F25-4504-88F7-80F9B03E50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0</xdr:colOff>
      <xdr:row>223</xdr:row>
      <xdr:rowOff>0</xdr:rowOff>
    </xdr:from>
    <xdr:to>
      <xdr:col>25</xdr:col>
      <xdr:colOff>660000</xdr:colOff>
      <xdr:row>243</xdr:row>
      <xdr:rowOff>104776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D176D2B0-8C40-45A2-A466-4BE4743B6F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0</xdr:colOff>
      <xdr:row>245</xdr:row>
      <xdr:rowOff>0</xdr:rowOff>
    </xdr:from>
    <xdr:to>
      <xdr:col>25</xdr:col>
      <xdr:colOff>660000</xdr:colOff>
      <xdr:row>265</xdr:row>
      <xdr:rowOff>104776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BE45BE8-4754-4A93-B515-B01076B24D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15</xdr:col>
      <xdr:colOff>0</xdr:colOff>
      <xdr:row>267</xdr:row>
      <xdr:rowOff>0</xdr:rowOff>
    </xdr:from>
    <xdr:to>
      <xdr:col>25</xdr:col>
      <xdr:colOff>660000</xdr:colOff>
      <xdr:row>287</xdr:row>
      <xdr:rowOff>104776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D9D4676-B77F-432C-876E-FA230F4B48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8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0.99046</cdr:x>
      <cdr:y>0.1721</cdr:y>
    </cdr:to>
    <cdr:sp macro="" textlink="'EM evol menusual lugar resd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0102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F9576AC-CD66-4AF4-9D7A-6723A4F689D7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extranjeros entrados en los establecimientos alojativos de Santiago del Teide (hotel + apartamento)</a:t>
          </a:fld>
          <a:endParaRPr lang="es-ES" sz="1100"/>
        </a:p>
      </cdr:txBody>
    </cdr:sp>
  </cdr:relSizeAnchor>
</c:userShapes>
</file>

<file path=xl/drawings/drawing8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0.99046</cdr:x>
      <cdr:y>0.1721</cdr:y>
    </cdr:to>
    <cdr:sp macro="" textlink="'EM evol menusual lugar resd'!$B$114:$N$11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0102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6ED3218-5B10-4EC9-977D-8A66ABDC718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británicos entrados en los establecimientos alojativos de Santiago del Teide (hotel + apartamento)</a:t>
          </a:fld>
          <a:endParaRPr lang="es-ES" sz="1100"/>
        </a:p>
      </cdr:txBody>
    </cdr:sp>
  </cdr:relSizeAnchor>
</c:userShapes>
</file>

<file path=xl/drawings/drawing82.xml><?xml version="1.0" encoding="utf-8"?>
<c:userShapes xmlns:c="http://schemas.openxmlformats.org/drawingml/2006/chart">
  <cdr:relSizeAnchor xmlns:cdr="http://schemas.openxmlformats.org/drawingml/2006/chartDrawing">
    <cdr:from>
      <cdr:x>0.00108</cdr:x>
      <cdr:y>0.96197</cdr:y>
    </cdr:from>
    <cdr:to>
      <cdr:x>0.51654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9525" y="4315662"/>
          <a:ext cx="4565049" cy="1706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0.9957</cdr:x>
      <cdr:y>0.14865</cdr:y>
    </cdr:to>
    <cdr:sp macro="" textlink="'EM evol menusual lugar resd'!$B$136:$N$13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6536"/>
          <a:ext cx="7729496" cy="6121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4CF804C-98B5-4600-8BB0-DA6FB75388B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alemanes entrados en los establecimientos alojativos de Santiago del Teide (hotel + apartamento)</a:t>
          </a:fld>
          <a:endParaRPr lang="es-ES" sz="1100"/>
        </a:p>
      </cdr:txBody>
    </cdr:sp>
  </cdr:relSizeAnchor>
</c:userShapes>
</file>

<file path=xl/drawings/drawing8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158:$N$15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franceses entrados en los establecimientos alojativos de Santiago del Teide (hotel + apartamento)</a:t>
          </a:fld>
          <a:endParaRPr lang="es-ES" sz="1100"/>
        </a:p>
      </cdr:txBody>
    </cdr:sp>
  </cdr:relSizeAnchor>
</c:userShapes>
</file>

<file path=xl/drawings/drawing8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180:$N$18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4E311B4-E254-490A-B2D1-DB87BC6D349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belgas entrados en los establecimientos alojativos de Santiago del Teide (hotel + apartamento)</a:t>
          </a:fld>
          <a:endParaRPr lang="es-ES" sz="1100"/>
        </a:p>
      </cdr:txBody>
    </cdr:sp>
  </cdr:relSizeAnchor>
</c:userShapes>
</file>

<file path=xl/drawings/drawing85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0.99391</cdr:x>
      <cdr:y>0.1721</cdr:y>
    </cdr:to>
    <cdr:sp macro="" textlink="'EM evol menusual lugar resd'!$B$202:$N$20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29600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2D9C39B-0038-4808-B660-1FFFBD54799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holandeses entrados en los establecimientos alojativos de Santiago del Teide (hotel + apartamento)</a:t>
          </a:fld>
          <a:endParaRPr lang="es-ES" sz="1100"/>
        </a:p>
      </cdr:txBody>
    </cdr:sp>
  </cdr:relSizeAnchor>
</c:userShapes>
</file>

<file path=xl/drawings/drawing8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224:$N$22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AF6DB970-8AF5-4ACF-8E05-A57BF76B1B5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belgas entrados en los establecimientos alojativos de Santiago del Teide (hotel + apartamento)</a:t>
          </a:fld>
          <a:endParaRPr lang="es-ES" sz="1100"/>
        </a:p>
      </cdr:txBody>
    </cdr:sp>
  </cdr:relSizeAnchor>
</c:userShapes>
</file>

<file path=xl/drawings/drawing8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246:$N$24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E52BDA80-C0F4-4A01-9A5D-806E76A2736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daneses entrados en los establecimientos alojativos de Santiago del Teide (hotel + apartamento)</a:t>
          </a:fld>
          <a:endParaRPr lang="es-ES" sz="1100"/>
        </a:p>
      </cdr:txBody>
    </cdr:sp>
  </cdr:relSizeAnchor>
</c:userShapes>
</file>

<file path=xl/drawings/drawing8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268:$N$26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3FEDF55F-EC40-4CCB-8271-796B623DE44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suecos entrados en los establecimientos alojativos de Santiago del Teide (hotel + apartamento)</a:t>
          </a:fld>
          <a:endParaRPr lang="es-ES" sz="1100"/>
        </a:p>
      </cdr:txBody>
    </cdr:sp>
  </cdr:relSizeAnchor>
</c:userShapes>
</file>

<file path=xl/drawings/drawing8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409574</xdr:colOff>
      <xdr:row>2</xdr:row>
      <xdr:rowOff>142874</xdr:rowOff>
    </xdr:from>
    <xdr:to>
      <xdr:col>25</xdr:col>
      <xdr:colOff>307574</xdr:colOff>
      <xdr:row>23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3A695AF-6343-4E30-A975-3FCD3EF769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853440</xdr:colOff>
      <xdr:row>4</xdr:row>
      <xdr:rowOff>95250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7C3ECC3-C0C2-4806-809A-2D7E70A21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771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93345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C37FDF2-07EA-43BF-B880-9408F610F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4520" cy="514631"/>
        </a:xfrm>
        <a:prstGeom prst="rect">
          <a:avLst/>
        </a:prstGeom>
      </xdr:spPr>
    </xdr:pic>
    <xdr:clientData/>
  </xdr:twoCellAnchor>
  <xdr:twoCellAnchor>
    <xdr:from>
      <xdr:col>14</xdr:col>
      <xdr:colOff>342900</xdr:colOff>
      <xdr:row>25</xdr:row>
      <xdr:rowOff>114300</xdr:rowOff>
    </xdr:from>
    <xdr:to>
      <xdr:col>25</xdr:col>
      <xdr:colOff>240900</xdr:colOff>
      <xdr:row>46</xdr:row>
      <xdr:rowOff>28576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1321B06-83A4-4097-A176-4EAAFD5952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3982C42-9754-4584-904D-1C8724F58A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60018325-F88D-4A78-BD82-FFC4E2332A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38100</xdr:colOff>
      <xdr:row>91</xdr:row>
      <xdr:rowOff>0</xdr:rowOff>
    </xdr:from>
    <xdr:to>
      <xdr:col>25</xdr:col>
      <xdr:colOff>698100</xdr:colOff>
      <xdr:row>111</xdr:row>
      <xdr:rowOff>85726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6C210EEB-8E87-4FDA-BDA9-326DF06227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0.00373</cdr:x>
      <cdr:y>0.00391</cdr:y>
    </cdr:from>
    <cdr:to>
      <cdr:x>0.97796</cdr:x>
      <cdr:y>0.1721</cdr:y>
    </cdr:to>
    <cdr:sp macro="" textlink="'Viajeros entr evol mensu TF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32657" y="16690"/>
          <a:ext cx="8533252" cy="7179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 entrados en los establecimientos alojativos de Santiago del Teide 
(hotel + apartamento)</a:t>
          </a:fld>
          <a:endParaRPr lang="es-ES" sz="1100"/>
        </a:p>
      </cdr:txBody>
    </cdr:sp>
  </cdr:relSizeAnchor>
</c:userShapes>
</file>

<file path=xl/drawings/drawing9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establecimientos alojativos de Santiago del Teide
(hotel + apartamento)</a:t>
          </a:fld>
          <a:endParaRPr lang="es-ES" sz="1100"/>
        </a:p>
      </cdr:txBody>
    </cdr:sp>
  </cdr:relSizeAnchor>
</c:userShapes>
</file>

<file path=xl/drawings/drawing91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hoteles de Santiago del Teide</a:t>
          </a:fld>
          <a:endParaRPr lang="es-ES" sz="1100"/>
        </a:p>
      </cdr:txBody>
    </cdr:sp>
  </cdr:relSizeAnchor>
</c:userShapes>
</file>

<file path=xl/drawings/drawing92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hoteles de 4, 5 estrellas de Santiago del Teide</a:t>
          </a:fld>
          <a:endParaRPr lang="es-ES" sz="1100"/>
        </a:p>
      </cdr:txBody>
    </cdr:sp>
  </cdr:relSizeAnchor>
  <cdr:relSizeAnchor xmlns:cdr="http://schemas.openxmlformats.org/drawingml/2006/chartDrawing">
    <cdr:from>
      <cdr:x>0.01304</cdr:x>
      <cdr:y>0.91106</cdr:y>
    </cdr:from>
    <cdr:to>
      <cdr:x>0.5285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3D3C7B1-03F3-939E-B177-216861D69B8A}"/>
            </a:ext>
          </a:extLst>
        </cdr:cNvPr>
        <cdr:cNvSpPr txBox="1"/>
      </cdr:nvSpPr>
      <cdr:spPr>
        <a:xfrm xmlns:a="http://schemas.openxmlformats.org/drawingml/2006/main">
          <a:off x="107950" y="4000501"/>
          <a:ext cx="4268009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2022 no se publicó la desagregación por categorías en las Islas</a:t>
          </a:r>
        </a:p>
      </cdr:txBody>
    </cdr:sp>
  </cdr:relSizeAnchor>
</c:userShapes>
</file>

<file path=xl/drawings/drawing9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hoteles de 1, 2, 3 Estrellas de Santiago del Teide</a:t>
          </a:fld>
          <a:endParaRPr lang="es-ES" sz="1100"/>
        </a:p>
      </cdr:txBody>
    </cdr:sp>
  </cdr:relSizeAnchor>
</c:userShapes>
</file>

<file path=xl/drawings/drawing9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apartamentos de Santiago del Teide</a:t>
          </a:fld>
          <a:endParaRPr lang="es-ES" sz="1100"/>
        </a:p>
      </cdr:txBody>
    </cdr:sp>
  </cdr:relSizeAnchor>
</c:userShapes>
</file>

<file path=xl/drawings/drawing9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1</xdr:row>
      <xdr:rowOff>123825</xdr:rowOff>
    </xdr:from>
    <xdr:to>
      <xdr:col>10</xdr:col>
      <xdr:colOff>609600</xdr:colOff>
      <xdr:row>24</xdr:row>
      <xdr:rowOff>114300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AD21C2B1-0CDE-49BE-8D5E-6D5391CB5986}"/>
            </a:ext>
          </a:extLst>
        </xdr:cNvPr>
        <xdr:cNvGrpSpPr/>
      </xdr:nvGrpSpPr>
      <xdr:grpSpPr>
        <a:xfrm>
          <a:off x="457200" y="31432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A0BA691A-4178-A835-3887-8ED3988E8F5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DD1AB6B9-AA9E-FA6B-D185-EF892F86AC7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38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Tasa de ocupación por plaza en hoteles y apartamentos</a:t>
            </a:r>
          </a:p>
        </xdr:txBody>
      </xdr:sp>
    </xdr:grpSp>
    <xdr:clientData/>
  </xdr:twoCellAnchor>
</xdr:wsDr>
</file>

<file path=xl/drawings/drawing9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704849</xdr:colOff>
      <xdr:row>3</xdr:row>
      <xdr:rowOff>104774</xdr:rowOff>
    </xdr:from>
    <xdr:to>
      <xdr:col>25</xdr:col>
      <xdr:colOff>621899</xdr:colOff>
      <xdr:row>22</xdr:row>
      <xdr:rowOff>167099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27D4BD4-A906-4CFA-85AF-CFCF65281D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228599</xdr:colOff>
      <xdr:row>91</xdr:row>
      <xdr:rowOff>419099</xdr:rowOff>
    </xdr:from>
    <xdr:to>
      <xdr:col>26</xdr:col>
      <xdr:colOff>126599</xdr:colOff>
      <xdr:row>112</xdr:row>
      <xdr:rowOff>100424</xdr:rowOff>
    </xdr:to>
    <xdr:graphicFrame macro="">
      <xdr:nvGraphicFramePr>
        <xdr:cNvPr id="3" name="Gráfico 8">
          <a:extLst>
            <a:ext uri="{FF2B5EF4-FFF2-40B4-BE49-F238E27FC236}">
              <a16:creationId xmlns:a16="http://schemas.microsoft.com/office/drawing/2014/main" id="{865CA2DC-EF5F-4860-A688-8C54EEE79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228599</xdr:colOff>
      <xdr:row>69</xdr:row>
      <xdr:rowOff>419099</xdr:rowOff>
    </xdr:from>
    <xdr:to>
      <xdr:col>26</xdr:col>
      <xdr:colOff>126599</xdr:colOff>
      <xdr:row>90</xdr:row>
      <xdr:rowOff>100424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4D8DA4A0-173A-4134-8FB0-B5F71E537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19050</xdr:rowOff>
    </xdr:from>
    <xdr:to>
      <xdr:col>0</xdr:col>
      <xdr:colOff>857250</xdr:colOff>
      <xdr:row>4</xdr:row>
      <xdr:rowOff>59055</xdr:rowOff>
    </xdr:to>
    <xdr:pic>
      <xdr:nvPicPr>
        <xdr:cNvPr id="5" name="Imagen 4" descr="Iconos Png Gratis Resume Volver Icono Descarga Gratuita - Pump ...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3AF2DB4-48A7-4A69-BC5B-FF2293BB9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85800"/>
          <a:ext cx="771525" cy="659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97155</xdr:colOff>
      <xdr:row>2</xdr:row>
      <xdr:rowOff>34571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E07F27-D7C3-4B09-813C-F15423B2A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8330" cy="510821"/>
        </a:xfrm>
        <a:prstGeom prst="rect">
          <a:avLst/>
        </a:prstGeom>
      </xdr:spPr>
    </xdr:pic>
    <xdr:clientData/>
  </xdr:twoCellAnchor>
  <xdr:twoCellAnchor>
    <xdr:from>
      <xdr:col>14</xdr:col>
      <xdr:colOff>904875</xdr:colOff>
      <xdr:row>24</xdr:row>
      <xdr:rowOff>180975</xdr:rowOff>
    </xdr:from>
    <xdr:to>
      <xdr:col>26</xdr:col>
      <xdr:colOff>59925</xdr:colOff>
      <xdr:row>46</xdr:row>
      <xdr:rowOff>14700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85CE59F9-0DBB-42DE-8360-08358E6F17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838200</xdr:colOff>
      <xdr:row>47</xdr:row>
      <xdr:rowOff>114300</xdr:rowOff>
    </xdr:from>
    <xdr:to>
      <xdr:col>25</xdr:col>
      <xdr:colOff>755250</xdr:colOff>
      <xdr:row>68</xdr:row>
      <xdr:rowOff>138525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1B7079ED-B11D-4A4F-ADE7-C0DC01CA72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9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0.00447</cdr:x>
      <cdr:y>0.00849</cdr:y>
    </cdr:from>
    <cdr:to>
      <cdr:x>0.9787</cdr:x>
      <cdr:y>0.17668</cdr:y>
    </cdr:to>
    <cdr:sp macro="" textlink="'tasa de ocupación evol mens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38100" y="35308"/>
          <a:ext cx="8307892" cy="6993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766CFC90-4DF6-4210-BB46-D250B73FFBF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Tasa de ocupación por plaza en los establecimientos alojativos de Santiago del Teide
(hotel + apartamento)</a:t>
          </a:fld>
          <a:endParaRPr lang="es-ES" sz="1100"/>
        </a:p>
      </cdr:txBody>
    </cdr:sp>
  </cdr:relSizeAnchor>
</c:userShapes>
</file>

<file path=xl/drawings/drawing98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#REF!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D22729FC-E7B2-4A0C-AAE8-8BF44637D087}" type="TxLink">
            <a:rPr lang="en-US" sz="1600" b="1" i="0" u="none" strike="noStrike">
              <a:solidFill>
                <a:srgbClr val="595959"/>
              </a:solidFill>
              <a:latin typeface="Calibri"/>
              <a:cs typeface="Calibri"/>
            </a:rPr>
            <a:pPr/>
            <a:t>Tasa de ocupación en los apartamentos de Tenerife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</c:userShapes>
</file>

<file path=xl/drawings/drawing99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#REF!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85FA83AF-8EEE-4570-A963-F3AE91B89BED}" type="TxLink">
            <a:rPr lang="en-US" sz="1600" b="1" i="0" u="none" strike="noStrike">
              <a:solidFill>
                <a:srgbClr val="595959"/>
              </a:solidFill>
              <a:latin typeface="Calibri"/>
              <a:cs typeface="Calibri"/>
            </a:rPr>
            <a:pPr/>
            <a:t>Tasa de ocupación en los hoteles de 4 estrellas de Tenerife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Tenerife azul">
      <a:dk1>
        <a:srgbClr val="373A36"/>
      </a:dk1>
      <a:lt1>
        <a:sysClr val="window" lastClr="FFFFFF"/>
      </a:lt1>
      <a:dk2>
        <a:srgbClr val="1F497D"/>
      </a:dk2>
      <a:lt2>
        <a:srgbClr val="EEECE1"/>
      </a:lt2>
      <a:accent1>
        <a:srgbClr val="1226AA"/>
      </a:accent1>
      <a:accent2>
        <a:srgbClr val="0071CE"/>
      </a:accent2>
      <a:accent3>
        <a:srgbClr val="1ECAD3"/>
      </a:accent3>
      <a:accent4>
        <a:srgbClr val="3CB4E5"/>
      </a:accent4>
      <a:accent5>
        <a:srgbClr val="F32735"/>
      </a:accent5>
      <a:accent6>
        <a:srgbClr val="0047BA"/>
      </a:accent6>
      <a:hlink>
        <a:srgbClr val="000B8C"/>
      </a:hlink>
      <a:folHlink>
        <a:srgbClr val="009ADE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7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8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9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0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1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2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24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9.xml"/><Relationship Id="rId1" Type="http://schemas.openxmlformats.org/officeDocument/2006/relationships/printerSettings" Target="../printerSettings/printerSettings2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5.x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6.xml"/><Relationship Id="rId1" Type="http://schemas.openxmlformats.org/officeDocument/2006/relationships/printerSettings" Target="../printerSettings/printerSettings26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2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3.xml"/><Relationship Id="rId1" Type="http://schemas.openxmlformats.org/officeDocument/2006/relationships/printerSettings" Target="../printerSettings/printerSettings27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4.xml"/><Relationship Id="rId1" Type="http://schemas.openxmlformats.org/officeDocument/2006/relationships/printerSettings" Target="../printerSettings/printerSettings28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5.xml"/><Relationship Id="rId1" Type="http://schemas.openxmlformats.org/officeDocument/2006/relationships/printerSettings" Target="../printerSettings/printerSettings29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6.xm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07.x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11.xml"/><Relationship Id="rId1" Type="http://schemas.openxmlformats.org/officeDocument/2006/relationships/printerSettings" Target="../printerSettings/printerSettings31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14.xml"/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17.xml"/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20.xml"/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4.xml"/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8.xml"/><Relationship Id="rId1" Type="http://schemas.openxmlformats.org/officeDocument/2006/relationships/printerSettings" Target="../printerSettings/printerSettings36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2.xml"/><Relationship Id="rId1" Type="http://schemas.openxmlformats.org/officeDocument/2006/relationships/printerSettings" Target="../printerSettings/printerSettings37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4.xml"/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6.xml"/><Relationship Id="rId1" Type="http://schemas.openxmlformats.org/officeDocument/2006/relationships/printerSettings" Target="../printerSettings/printerSettings3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1E97C-20C9-450A-A455-B85DA0C1A6AA}">
  <dimension ref="B1:M56"/>
  <sheetViews>
    <sheetView showGridLines="0" tabSelected="1" workbookViewId="0">
      <selection activeCell="G10" sqref="G10"/>
    </sheetView>
  </sheetViews>
  <sheetFormatPr baseColWidth="10" defaultRowHeight="15" x14ac:dyDescent="0.25"/>
  <cols>
    <col min="1" max="1" width="13.7109375" customWidth="1"/>
    <col min="2" max="2" width="147.7109375" customWidth="1"/>
  </cols>
  <sheetData>
    <row r="1" spans="2:13" x14ac:dyDescent="0.25">
      <c r="B1" s="1" t="s">
        <v>0</v>
      </c>
    </row>
    <row r="2" spans="2:13" ht="36" x14ac:dyDescent="0.55000000000000004">
      <c r="B2" s="2" t="s">
        <v>1</v>
      </c>
      <c r="M2" t="e">
        <f>#REF!/#REF!</f>
        <v>#REF!</v>
      </c>
    </row>
    <row r="3" spans="2:13" ht="36" x14ac:dyDescent="0.55000000000000004">
      <c r="B3" s="2" t="s">
        <v>54</v>
      </c>
    </row>
    <row r="4" spans="2:13" ht="23.25" x14ac:dyDescent="0.35">
      <c r="B4" s="3" t="s">
        <v>213</v>
      </c>
    </row>
    <row r="5" spans="2:13" x14ac:dyDescent="0.25">
      <c r="B5" s="4"/>
    </row>
    <row r="6" spans="2:13" ht="21.75" thickBot="1" x14ac:dyDescent="0.4">
      <c r="B6" s="5" t="s">
        <v>2</v>
      </c>
    </row>
    <row r="7" spans="2:13" ht="15.75" thickTop="1" x14ac:dyDescent="0.25"/>
    <row r="8" spans="2:13" ht="15.75" x14ac:dyDescent="0.25">
      <c r="B8" s="6" t="s">
        <v>214</v>
      </c>
    </row>
    <row r="9" spans="2:13" ht="15.75" x14ac:dyDescent="0.25">
      <c r="B9" s="6" t="s">
        <v>3</v>
      </c>
    </row>
    <row r="10" spans="2:13" ht="15.75" x14ac:dyDescent="0.25">
      <c r="B10" s="6"/>
    </row>
    <row r="11" spans="2:13" ht="19.5" thickBot="1" x14ac:dyDescent="0.35">
      <c r="B11" s="7" t="s">
        <v>4</v>
      </c>
    </row>
    <row r="12" spans="2:13" ht="18.75" x14ac:dyDescent="0.3">
      <c r="B12" s="8"/>
    </row>
    <row r="13" spans="2:13" ht="15.75" x14ac:dyDescent="0.25">
      <c r="B13" s="6" t="s">
        <v>5</v>
      </c>
    </row>
    <row r="14" spans="2:13" ht="15.75" x14ac:dyDescent="0.25">
      <c r="B14" s="6" t="s">
        <v>6</v>
      </c>
    </row>
    <row r="15" spans="2:13" x14ac:dyDescent="0.25">
      <c r="B15" s="9"/>
    </row>
    <row r="16" spans="2:13" ht="19.5" thickBot="1" x14ac:dyDescent="0.35">
      <c r="B16" s="7" t="s">
        <v>7</v>
      </c>
    </row>
    <row r="17" spans="2:2" ht="15.75" x14ac:dyDescent="0.25">
      <c r="B17" s="6"/>
    </row>
    <row r="18" spans="2:2" ht="15.75" x14ac:dyDescent="0.25">
      <c r="B18" s="10" t="s">
        <v>8</v>
      </c>
    </row>
    <row r="19" spans="2:2" ht="15.75" x14ac:dyDescent="0.25">
      <c r="B19" s="6" t="s">
        <v>215</v>
      </c>
    </row>
    <row r="20" spans="2:2" ht="15.75" x14ac:dyDescent="0.25">
      <c r="B20" s="6" t="s">
        <v>216</v>
      </c>
    </row>
    <row r="21" spans="2:2" ht="15.75" x14ac:dyDescent="0.25">
      <c r="B21" s="6" t="s">
        <v>217</v>
      </c>
    </row>
    <row r="22" spans="2:2" ht="15.75" x14ac:dyDescent="0.25">
      <c r="B22" s="6" t="s">
        <v>9</v>
      </c>
    </row>
    <row r="23" spans="2:2" ht="15.75" x14ac:dyDescent="0.25">
      <c r="B23" s="6" t="s">
        <v>10</v>
      </c>
    </row>
    <row r="24" spans="2:2" ht="15.75" x14ac:dyDescent="0.25">
      <c r="B24" s="6" t="s">
        <v>11</v>
      </c>
    </row>
    <row r="25" spans="2:2" ht="15.75" x14ac:dyDescent="0.25">
      <c r="B25" s="6" t="s">
        <v>12</v>
      </c>
    </row>
    <row r="26" spans="2:2" ht="15.75" x14ac:dyDescent="0.25">
      <c r="B26" s="6" t="s">
        <v>13</v>
      </c>
    </row>
    <row r="27" spans="2:2" ht="15.75" x14ac:dyDescent="0.25">
      <c r="B27" s="6" t="s">
        <v>14</v>
      </c>
    </row>
    <row r="28" spans="2:2" ht="15.75" x14ac:dyDescent="0.25">
      <c r="B28" s="6" t="s">
        <v>15</v>
      </c>
    </row>
    <row r="29" spans="2:2" ht="15.75" x14ac:dyDescent="0.25">
      <c r="B29" s="6" t="s">
        <v>16</v>
      </c>
    </row>
    <row r="30" spans="2:2" ht="15.75" x14ac:dyDescent="0.25">
      <c r="B30" s="6" t="s">
        <v>17</v>
      </c>
    </row>
    <row r="31" spans="2:2" ht="15.75" x14ac:dyDescent="0.25">
      <c r="B31" s="10" t="s">
        <v>18</v>
      </c>
    </row>
    <row r="32" spans="2:2" ht="15.75" x14ac:dyDescent="0.25">
      <c r="B32" s="6" t="s">
        <v>19</v>
      </c>
    </row>
    <row r="33" spans="2:2" ht="15.75" x14ac:dyDescent="0.25">
      <c r="B33" s="6" t="s">
        <v>20</v>
      </c>
    </row>
    <row r="34" spans="2:2" ht="15.75" x14ac:dyDescent="0.25">
      <c r="B34" s="10" t="s">
        <v>21</v>
      </c>
    </row>
    <row r="35" spans="2:2" ht="15.75" x14ac:dyDescent="0.25">
      <c r="B35" s="6" t="s">
        <v>218</v>
      </c>
    </row>
    <row r="36" spans="2:2" ht="15.75" x14ac:dyDescent="0.25">
      <c r="B36" s="6" t="s">
        <v>219</v>
      </c>
    </row>
    <row r="37" spans="2:2" ht="15.75" x14ac:dyDescent="0.25">
      <c r="B37" s="6" t="str">
        <f>CONCATENATE("Pernoctaciones en los establecimientos alojativos de Tenerife según lugar de residencia y municipio de alojamiento (hotel + apartamento) - mes")</f>
        <v>Pernoctaciones en los establecimientos alojativos de Tenerife según lugar de residencia y municipio de alojamiento (hotel + apartamento) - mes</v>
      </c>
    </row>
    <row r="38" spans="2:2" ht="15.75" x14ac:dyDescent="0.25">
      <c r="B38" s="6" t="str">
        <f>CONCATENATE("Pernoctaciones en los establecimientos alojativos de Tenerife según lugar de residencia y municipio de alojamiento (hotel + apartamento) - acumulado")</f>
        <v>Pernoctaciones en los establecimientos alojativos de Tenerife según lugar de residencia y municipio de alojamiento (hotel + apartamento) - acumulado</v>
      </c>
    </row>
    <row r="39" spans="2:2" ht="15.75" x14ac:dyDescent="0.25">
      <c r="B39" s="6" t="str">
        <f>CONCATENATE("Pernoctaciones en los establecimientos alojativos de Tenerife según lugar de residencia y municipio de alojamiento (hotel + apartamento) - año")</f>
        <v>Pernoctaciones en los establecimientos alojativos de Tenerife según lugar de residencia y municipio de alojamiento (hotel + apartamento) - año</v>
      </c>
    </row>
    <row r="40" spans="2:2" ht="15.75" x14ac:dyDescent="0.25">
      <c r="B40" s="10" t="s">
        <v>22</v>
      </c>
    </row>
    <row r="41" spans="2:2" ht="15.75" x14ac:dyDescent="0.25">
      <c r="B41" s="6" t="s">
        <v>220</v>
      </c>
    </row>
    <row r="42" spans="2:2" ht="15.75" x14ac:dyDescent="0.25">
      <c r="B42" s="6" t="s">
        <v>221</v>
      </c>
    </row>
    <row r="43" spans="2:2" ht="15.75" x14ac:dyDescent="0.25">
      <c r="B43" s="10" t="s">
        <v>23</v>
      </c>
    </row>
    <row r="44" spans="2:2" ht="15.75" x14ac:dyDescent="0.25">
      <c r="B44" s="6" t="s">
        <v>222</v>
      </c>
    </row>
    <row r="45" spans="2:2" ht="15.75" x14ac:dyDescent="0.25">
      <c r="B45" s="10" t="s">
        <v>24</v>
      </c>
    </row>
    <row r="46" spans="2:2" ht="31.5" x14ac:dyDescent="0.25">
      <c r="B46" s="11" t="s">
        <v>25</v>
      </c>
    </row>
    <row r="47" spans="2:2" ht="15.75" x14ac:dyDescent="0.25">
      <c r="B47" s="11" t="s">
        <v>26</v>
      </c>
    </row>
    <row r="48" spans="2:2" ht="15.75" x14ac:dyDescent="0.25">
      <c r="B48" s="11" t="s">
        <v>27</v>
      </c>
    </row>
    <row r="49" spans="2:2" ht="15.75" x14ac:dyDescent="0.25">
      <c r="B49" s="10" t="s">
        <v>28</v>
      </c>
    </row>
    <row r="50" spans="2:2" ht="15.75" x14ac:dyDescent="0.25">
      <c r="B50" s="6" t="s">
        <v>223</v>
      </c>
    </row>
    <row r="51" spans="2:2" ht="15.75" x14ac:dyDescent="0.25">
      <c r="B51" s="6" t="s">
        <v>224</v>
      </c>
    </row>
    <row r="52" spans="2:2" ht="15.75" x14ac:dyDescent="0.25">
      <c r="B52" s="6" t="s">
        <v>225</v>
      </c>
    </row>
    <row r="53" spans="2:2" ht="15.75" x14ac:dyDescent="0.25">
      <c r="B53" s="6" t="s">
        <v>226</v>
      </c>
    </row>
    <row r="54" spans="2:2" ht="15.75" x14ac:dyDescent="0.25">
      <c r="B54" s="6" t="s">
        <v>29</v>
      </c>
    </row>
    <row r="55" spans="2:2" ht="15.75" x14ac:dyDescent="0.25">
      <c r="B55" s="6" t="s">
        <v>30</v>
      </c>
    </row>
    <row r="56" spans="2:2" ht="15.75" x14ac:dyDescent="0.25">
      <c r="B56" s="6" t="s">
        <v>31</v>
      </c>
    </row>
  </sheetData>
  <hyperlinks>
    <hyperlink ref="B13" location="'Plazas aloj islas cat y tipolog'!A1" tooltip="Plazas alojativas Canarias e islas" display="Plazas alojativas Canarias e islas" xr:uid="{5E6755F6-B3D1-4BB9-981D-79B12EDA9C27}"/>
    <hyperlink ref="B19" location="'Viajeros entr evol mensu TF'!A1" tooltip="Evolución mensual de viajeros entrentrados en Tenerife según lugar de residencia" display="Evolución mensual de viajeros entrados en Tenerife según lugar de residencia" xr:uid="{FCB915F0-9ACF-49A8-B58F-819BE74FF256}"/>
    <hyperlink ref="B14" location="'Establecim aloj islas cat y tip'!A1" tooltip="Establecimientos alojativos Canarias e islas" display="Establecimientos alojativos Canarias e islas" xr:uid="{2A726122-B08E-462C-80C1-F31EA12736E4}"/>
    <hyperlink ref="B32" location="'viaj aloj lugar residen mes'!A1" tooltip="Viajeros alojados en los establecimientos alojativos de Tenerife según lugar de residencia y municipio de alojamiento" display="Viajeros alojados en los establecimientos alojativos de Tenerife según lugar de residencia y municipio de alojamiento - mes" xr:uid="{844FCDCA-6995-4E48-B247-85C7E6631343}"/>
    <hyperlink ref="B23" location="'Viajeros entr ti-cat ultimo mes'!A1" tooltip="Viajeros entrados en los establecimientos alojativos de Tenerife por municipio y categoría " display="Viajeros entrados en los establecimientos alojativos de Tenerife por municipio y categoría " xr:uid="{C17997AF-EDB6-4347-ADDA-06EFA4A6553B}"/>
    <hyperlink ref="B37" location="'Pernoctaciones lugar reside'!A1" tooltip="Pernoctaciones registradas en establecimientos alojativos de Canarias e islas según tipología y categoría" display="'Pernoctaciones lugar reside'!A1" xr:uid="{01A4EEC6-5DED-41EA-8BF8-DF85DD19E3A8}"/>
    <hyperlink ref="B8" location="'Resumen indicadores (aloj)'!A1" tooltip="Resumen indicadores Tenerife" display="'Resumen indicadores (aloj)'!A1" xr:uid="{C3E1D4ED-60A2-4E8A-A752-FB0799493B37}"/>
    <hyperlink ref="B9" location="'Resumen indicadores municipios '!A1" tooltip="Resumen indicadores municipios Tenerife" display="Resumen indicadores municipios Tenerife" xr:uid="{217630FA-3908-4535-A223-CDD7A5A12A3D}"/>
    <hyperlink ref="B20" location="'Viajeros entr evol mensu TF cat'!A1" tooltip="Evolución mensual de viajeros entrentrados en Tenerife según lugar de residencia" display="'Viajeros entr evol mensu TF cat'!A1" xr:uid="{5217CC30-A7A4-41EE-B82C-CAEF7575841D}"/>
    <hyperlink ref="B21" location="'Viajeros entr evol anual TF cat'!A1" tooltip="Evolución mensual de viajeros entrentrados en Tenerife según lugar de residencia" display="'Viajeros entr evol anual TF cat'!A1" xr:uid="{E943403B-EA1D-4217-BE7F-A3BCD7D6A303}"/>
    <hyperlink ref="B33" location="'viaj aloj lugar residen mes'!A1" tooltip="Viajeros alojados en los establecimientos alojativos de Tenerife según lugar de residencia y municipio de alojamiento" display="Viajeros alojados en los establecimientos alojativos de Tenerife según lugar de residencia y municipio de alojamiento - acumulado" xr:uid="{800D3814-E2AD-4BCF-9D22-A5AA3034C709}"/>
    <hyperlink ref="B24" location="'viaj entrados lugar resid años '!A1" tooltip="Viajeros entrados en los establecimientos alojativos de Tenerife según lugar de residencia y municipio de alojamiento" display="Viajeros entrados en los establecimientos alojativos de Tenerife según lugar de residencia y municipio de alojamiento - año" xr:uid="{6B10D022-1E5D-4844-8505-E3B7D9D91D0D}"/>
    <hyperlink ref="B25" location="'viaj entrados lugar residencia'!A1" tooltip="Viajeros entrados en los establecimientos alojativos de Tenerife según lugar de residencia y municipio de alojamiento" display="Viajeros entrados en los establecimientos alojativos de Tenerife según lugar de residencia y municipio de alojamiento - mes" xr:uid="{11D8C24A-7CCF-414A-8CB7-6E0D6DA1FBBF}"/>
    <hyperlink ref="B26" location="'viaj entrados lugar residen acu'!A1" tooltip="Viajeros entrados en los establecimientos alojativos de Tenerife según lugar de residencia y municipio de alojamiento" display="Viajeros entrados en los establecimientos alojativos de Tenerife según lugar de residencia y municipio de alojamiento - acumulado" xr:uid="{14365D11-63FE-4DDB-848C-55C8717DBF4B}"/>
    <hyperlink ref="B27:B28" location="'viaj entrados lugar residen acu'!A1" tooltip="Viajeros entrados en los establecimientos alojativos de según lugar de residencia y municipio de alojamiento" display="Viajeros entrados en los establecimientos alojativos de según lugar de residencia y municipio de alojamiento - acumulado" xr:uid="{B3C6DAFF-7710-4B3C-8E6B-1EE23CB792AB}"/>
    <hyperlink ref="B27" location="'viaj entrados lugar residen hot'!A1" tooltip="Viajeros entrados en los hoteles de Tenerife según lugar de residencia y municipio de alojamiento - acumulado" display="Viajeros entrados en los hoteles de Tenerife según lugar de residencia y municipio de alojamiento - acumulado" xr:uid="{4D534F8D-9900-4892-9F4A-FDE0C30C648F}"/>
    <hyperlink ref="B29" location="'viaj entrados lugar residen cat'!A1" tooltip="Viajeros entrados en los establecimientos hoteleros de Tenerife según lugar de residencia, categoría y municipio del alojamiento" display="Viajeros entrados en los establecimientos hoteleros de Tenerife según lugar de residencia, categoría y municipio del alojamiento - acumulado" xr:uid="{1507600C-4DFD-469D-BEBA-EAC8D929C0B7}"/>
    <hyperlink ref="B28" location="'viaj entrados lugar residen apt'!A1" tooltip="Viajeros entrados en los apartamentos de Tenerife según lugar de residencia y municipio de alojamiento" display="Viajeros entrados en los apartamentos de Tenerife según lugar de residencia y municipio de alojamiento - acumulado" xr:uid="{38F4F71D-6CA5-4F6B-BA7A-F19C2618F880}"/>
    <hyperlink ref="B30" location="'viaj entr lugar res año categor'!A1" tooltip="Viajeros entrados en los establecimientos hoteleros de Tenerife según lugar de residencia, categoría y municipio del alojamiento" display="Viajeros entrados en los establecimientos hoteleros de Tenerife según lugar de residencia, categoría y municipio del alojamiento - año" xr:uid="{ED254524-91D6-4532-A28C-09076826EBB7}"/>
    <hyperlink ref="B50" location="'distribución españoles x Resid'!A1" tooltip="=CONCATENAR(&quot;Viajeros españoles entrados en los hoteles y apartamentos de &quot;;Actualizaciones!$B$3;&quot; según lugar de residencia&quot;)" display="=CONCATENAR(&quot;Viajeros españoles entrados en los hoteles y apartamentos de &quot;;Actualizaciones!$B$3;&quot; según lugar de residencia - acumulado&quot;)" xr:uid="{7C8884D6-B0F5-40AC-9958-F46EC5C10F38}"/>
    <hyperlink ref="B22" location="'distribución españoles x mun al'!A1" tooltip="Viajeros peninsulares entrados en los hoteles y apartamentos de Tenerife por municipio de alojamiento" display="Viajeros peninsulares entrados en los hoteles y apartamentos de Tenerife por municipio de alojamiento - acumulado" xr:uid="{AD771ACC-7DC7-40C0-B881-10CED7D887D2}"/>
    <hyperlink ref="B53" location="'distribución canarias x munici'!A1" tooltip="=CONCATENAR(&quot;Viajeros canarios entrados en los hoteles y apartamentos de &quot;;Actualizaciones!$B$3;&quot; por tipología y categoría de alojamiento&quot;)" display="'distribución canarias x munici'!A1" xr:uid="{626C872C-805D-4BCF-BF13-D90990F3B8AB}"/>
    <hyperlink ref="B35" location="'Pernoctaciones evol mensu TF'!A1" tooltip="Evolución mensual de pernoctaciones en Tenerife según lugar de residencia" display="'Pernoctaciones evol mensu TF'!A1" xr:uid="{59B236C9-8EB0-4B2B-90B3-0C9D50BC05D2}"/>
    <hyperlink ref="B36" location="'Pernocta evol mensu TF cat'!A1" tooltip="Evolución mensual de pernoctaciones en Tenerife según lugar de residencia" display="'Pernocta evol mensu TF cat'!A1" xr:uid="{11F78190-83C4-4703-9298-BD40951C52C3}"/>
    <hyperlink ref="B38" location="'Pernoctaciones lugar residen ac'!A1" tooltip="Pernoctaciones registradas en establecimientos alojativos de Canarias e islas según tipología y categoría" display="'Pernoctaciones lugar residen ac'!A1" xr:uid="{556789AC-6025-4594-A003-482145449E84}"/>
    <hyperlink ref="B39" location="'Pernoctaciones lugar reside año'!A1" tooltip="Pernoctaciones registradas en establecimientos alojativos de Canarias e islas según tipología y categoría" display="'Pernoctaciones lugar reside año'!A1" xr:uid="{D250BF42-CCAE-4AA2-A787-2997C372C33A}"/>
    <hyperlink ref="B46" location="'ADR RevPAR ingresos totales ult'!A1" tooltip="Pernoctaciones registradas en establecimientos alojativos de Canarias e islas según tipología y categoría" display="Tarifa media diaria ADR por habitación en los establecimientos alojativos Tenerife por municipio  (hotel + apartamento) " xr:uid="{D9F98BAF-4E7C-4709-8652-B1DDDC631552}"/>
    <hyperlink ref="B41" location="'EM evol menusual lugar resd'!A1" tooltip="Evolución mensual de estancia media en Tenerife según lugar de residencia" display="'EM evol menusual lugar resd'!A1" xr:uid="{A2162EEB-7EA5-4D19-B263-929A1BCB01CF}"/>
    <hyperlink ref="B42" location="'EM evol mensu TF cat '!A1" tooltip="Evolución mensual de estancia media en Tenerife según lugar de residencia" display="'EM evol mensu TF cat '!A1" xr:uid="{64FEAC0C-2D97-4EF5-B064-2535C91CDBD1}"/>
    <hyperlink ref="B44" location="'tasa de ocupación evol mens'!A1" tooltip="Evolución mensual de estancia media en Tenerife según lugar de residencia" display="'tasa de ocupación evol mens'!A1" xr:uid="{D7242685-0CF7-4A71-883A-C73C4C9E1692}"/>
    <hyperlink ref="B52" location="'distribución peninsula x munici'!A1" tooltip="=CONCATENAR(&quot;Viajeros peninsulares entrados en los hoteles y apartamentos de &quot;;Actualizaciones!$B$3;&quot; por tipología y categoría de alojamiento&quot;)" display="'distribución peninsula x munici'!A1" xr:uid="{D7A01AA7-76D1-4C01-A667-C1DFEF317FA3}"/>
    <hyperlink ref="B51" location="'distribución españoles x mun al'!A1" tooltip="=CONCATENAR(&quot;Viajeros españoles entrados en los hoteles y apartamentos de &quot;;Actualizaciones!$B$3;&quot; por tipología y categoría de alojamiento&quot;)" display="'distribución españoles x mun al'!A1" xr:uid="{7E4CC23D-2A27-40A3-A596-ACC81E602EB5}"/>
    <hyperlink ref="B54" location="'evolución anual viaj ent españo'!A1" tooltip="Viajeros españoles entrados en los hoteles y apartamentos de Tenerife por municipio de alojamiento" display="Viajeros españoles entrados en los hoteles y apartamentos de Tenerife por municipio de alojamiento" xr:uid="{03287008-F35D-4149-846C-1B6F83D03993}"/>
    <hyperlink ref="B55" location="'evolución anual viaj ent penins'!A1" tooltip="Viajeros peninsulares entrados en los hoteles y apartamentos de Tenerife por municipio de alojamiento" display="Viajeros peninsulares entrados en los hoteles y apartamentos de Tenerife por municipio de alojamiento" xr:uid="{2378E436-6526-4319-ADA1-0BCAB47C4E74}"/>
    <hyperlink ref="B56" location="'evolución anual viaj ent canari'!A1" tooltip="Viajeros canarios entrados en los hoteles y apartamentos de Tenerife por municipio de alojamiento" display="Viajeros canarios entrados en los hoteles y apartamentos de Tenerife por municipio de alojamiento" xr:uid="{ABFC418B-182C-434B-84BC-39204649FAF5}"/>
    <hyperlink ref="B47" location="'ADR municipios'!A1" display="Tarifa media diaria (ADR) Tenerife y municipios" xr:uid="{3A7E32AA-81B5-4075-9901-BF9A195E39A1}"/>
    <hyperlink ref="B48" location="'RevPAR  municipios'!A1" display="Ingresos medios por habitación (RevPar) Tenerife y municipios" xr:uid="{3708B4DC-A34D-4112-8183-B5A1A8AC158F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DEDAC-03CF-4C69-8905-EA4B3E125816}">
  <sheetPr>
    <tabColor theme="7" tint="0.79998168889431442"/>
  </sheetPr>
  <dimension ref="A4:O114"/>
  <sheetViews>
    <sheetView showGridLines="0" zoomScaleNormal="100" workbookViewId="0">
      <selection activeCell="G10" sqref="G10"/>
    </sheetView>
  </sheetViews>
  <sheetFormatPr baseColWidth="10" defaultColWidth="11.42578125" defaultRowHeight="15" x14ac:dyDescent="0.25"/>
  <cols>
    <col min="1" max="1" width="15.28515625" customWidth="1"/>
    <col min="14" max="14" width="13.5703125" bestFit="1" customWidth="1"/>
  </cols>
  <sheetData>
    <row r="4" spans="1:15" ht="48.75" customHeight="1" thickBot="1" x14ac:dyDescent="0.3">
      <c r="B4" s="12" t="s">
        <v>253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" t="s">
        <v>68</v>
      </c>
    </row>
    <row r="5" spans="1:15" ht="10.5" customHeight="1" thickBot="1" x14ac:dyDescent="0.3">
      <c r="B5" s="132"/>
      <c r="C5" s="133"/>
      <c r="D5" s="132"/>
      <c r="E5" s="132"/>
      <c r="F5" s="132"/>
      <c r="G5" s="132"/>
      <c r="H5" s="132"/>
      <c r="I5" s="132"/>
      <c r="J5" s="132"/>
      <c r="K5" s="132"/>
      <c r="L5" s="132"/>
      <c r="M5" s="4"/>
      <c r="N5" s="4"/>
      <c r="O5" s="1" t="s">
        <v>69</v>
      </c>
    </row>
    <row r="6" spans="1:15" ht="22.5" thickTop="1" thickBot="1" x14ac:dyDescent="0.3">
      <c r="B6" s="134" t="s">
        <v>32</v>
      </c>
      <c r="C6" s="135" t="s">
        <v>134</v>
      </c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1:15" ht="22.5" thickTop="1" thickBot="1" x14ac:dyDescent="0.3">
      <c r="B7" s="137"/>
      <c r="C7" s="138">
        <f>E7-1</f>
        <v>2020</v>
      </c>
      <c r="D7" s="139"/>
      <c r="E7" s="140">
        <f t="shared" ref="E7" si="0">G7-1</f>
        <v>2021</v>
      </c>
      <c r="F7" s="139"/>
      <c r="G7" s="140">
        <f t="shared" ref="G7" si="1">I7-1</f>
        <v>2022</v>
      </c>
      <c r="H7" s="139"/>
      <c r="I7" s="140">
        <f t="shared" ref="I7" si="2">K7-1</f>
        <v>2023</v>
      </c>
      <c r="J7" s="139"/>
      <c r="K7" s="140">
        <f>M7-1</f>
        <v>2024</v>
      </c>
      <c r="L7" s="139"/>
      <c r="M7" s="140">
        <v>2025</v>
      </c>
      <c r="N7" s="141"/>
    </row>
    <row r="8" spans="1:15" ht="16.5" thickTop="1" thickBot="1" x14ac:dyDescent="0.3">
      <c r="B8" s="109"/>
      <c r="C8" s="142" t="s">
        <v>71</v>
      </c>
      <c r="D8" s="143" t="str">
        <f>CONCATENATE("var ",RIGHT(C7,2),"/",RIGHT(C7-1,2))</f>
        <v>var 20/19</v>
      </c>
      <c r="E8" s="144" t="s">
        <v>71</v>
      </c>
      <c r="F8" s="143" t="str">
        <f>CONCATENATE("var ",RIGHT(E7,2),"/",RIGHT(E7-1,2))</f>
        <v>var 21/20</v>
      </c>
      <c r="G8" s="144" t="s">
        <v>71</v>
      </c>
      <c r="H8" s="143" t="str">
        <f>CONCATENATE("var ",RIGHT(G7,2),"/",RIGHT(G7-1,2))</f>
        <v>var 22/21</v>
      </c>
      <c r="I8" s="144" t="s">
        <v>71</v>
      </c>
      <c r="J8" s="143" t="str">
        <f>CONCATENATE("var ",RIGHT(I7,2),"/",RIGHT(I7-1,2))</f>
        <v>var 23/22</v>
      </c>
      <c r="K8" s="144" t="s">
        <v>71</v>
      </c>
      <c r="L8" s="143" t="str">
        <f>CONCATENATE("var ",RIGHT(K7,2),"/",RIGHT(K7-1,2))</f>
        <v>var 24/23</v>
      </c>
      <c r="M8" s="144" t="s">
        <v>71</v>
      </c>
      <c r="N8" s="143" t="str">
        <f>CONCATENATE("var ",RIGHT(M7,2),"/",RIGHT(M7-1,2))</f>
        <v>var 25/24</v>
      </c>
    </row>
    <row r="9" spans="1:15" x14ac:dyDescent="0.25">
      <c r="A9" s="1" t="s">
        <v>72</v>
      </c>
      <c r="B9" s="145" t="s">
        <v>73</v>
      </c>
      <c r="C9" s="146">
        <v>21031</v>
      </c>
      <c r="D9" s="147">
        <v>6.5400202634245286E-2</v>
      </c>
      <c r="E9" s="146">
        <v>6223</v>
      </c>
      <c r="F9" s="147">
        <f t="shared" ref="F9:L21" si="3">IFERROR(E9/C9-1,"-")</f>
        <v>-0.70410346631163523</v>
      </c>
      <c r="G9" s="146">
        <v>15598</v>
      </c>
      <c r="H9" s="147">
        <f t="shared" si="3"/>
        <v>1.5065081150570463</v>
      </c>
      <c r="I9" s="146">
        <v>22490</v>
      </c>
      <c r="J9" s="147">
        <f t="shared" si="3"/>
        <v>0.44185151942556744</v>
      </c>
      <c r="K9" s="146">
        <v>22650</v>
      </c>
      <c r="L9" s="147">
        <f t="shared" si="3"/>
        <v>7.1142730102267127E-3</v>
      </c>
      <c r="M9" s="146">
        <v>22528</v>
      </c>
      <c r="N9" s="147">
        <f t="shared" ref="N9" si="4">IFERROR(M9/K9-1,"-")</f>
        <v>-5.3863134657836653E-3</v>
      </c>
    </row>
    <row r="10" spans="1:15" x14ac:dyDescent="0.25">
      <c r="A10" s="1" t="s">
        <v>74</v>
      </c>
      <c r="B10" s="145" t="s">
        <v>75</v>
      </c>
      <c r="C10" s="146">
        <v>22403</v>
      </c>
      <c r="D10" s="147">
        <v>0.16542683244030587</v>
      </c>
      <c r="E10" s="146">
        <v>5135</v>
      </c>
      <c r="F10" s="147">
        <f t="shared" si="3"/>
        <v>-0.7707896263893228</v>
      </c>
      <c r="G10" s="146">
        <v>21666</v>
      </c>
      <c r="H10" s="147">
        <f t="shared" si="3"/>
        <v>3.2192794547224928</v>
      </c>
      <c r="I10" s="146">
        <v>23086</v>
      </c>
      <c r="J10" s="147">
        <f t="shared" si="3"/>
        <v>6.5540478168559124E-2</v>
      </c>
      <c r="K10" s="146">
        <v>23921</v>
      </c>
      <c r="L10" s="147">
        <f t="shared" si="3"/>
        <v>3.6169106817985019E-2</v>
      </c>
      <c r="M10" s="146">
        <v>23285</v>
      </c>
      <c r="N10" s="147">
        <f>IFERROR(M10/K10-1,"-")</f>
        <v>-2.6587517244262338E-2</v>
      </c>
    </row>
    <row r="11" spans="1:15" x14ac:dyDescent="0.25">
      <c r="A11" s="1" t="s">
        <v>76</v>
      </c>
      <c r="B11" s="145" t="s">
        <v>77</v>
      </c>
      <c r="C11" s="146">
        <v>8865</v>
      </c>
      <c r="D11" s="147">
        <v>-0.59655031174623407</v>
      </c>
      <c r="E11" s="146">
        <v>5413</v>
      </c>
      <c r="F11" s="147">
        <f t="shared" si="3"/>
        <v>-0.38939650310208684</v>
      </c>
      <c r="G11" s="146">
        <v>22231</v>
      </c>
      <c r="H11" s="147">
        <f t="shared" si="3"/>
        <v>3.1069647145760211</v>
      </c>
      <c r="I11" s="146">
        <v>21689</v>
      </c>
      <c r="J11" s="147">
        <f t="shared" si="3"/>
        <v>-2.4380369753947195E-2</v>
      </c>
      <c r="K11" s="146">
        <v>27356</v>
      </c>
      <c r="L11" s="147">
        <f t="shared" si="3"/>
        <v>0.26128452210798092</v>
      </c>
      <c r="M11" s="146">
        <v>24054</v>
      </c>
      <c r="N11" s="147">
        <f>IFERROR(M11/K11-1,"-")</f>
        <v>-0.12070478140078955</v>
      </c>
    </row>
    <row r="12" spans="1:15" x14ac:dyDescent="0.25">
      <c r="A12" s="1" t="s">
        <v>78</v>
      </c>
      <c r="B12" s="145" t="s">
        <v>79</v>
      </c>
      <c r="C12" s="146">
        <v>0</v>
      </c>
      <c r="D12" s="147">
        <v>-1</v>
      </c>
      <c r="E12" s="146">
        <v>6463</v>
      </c>
      <c r="F12" s="147" t="str">
        <f t="shared" si="3"/>
        <v>-</v>
      </c>
      <c r="G12" s="146">
        <v>23894</v>
      </c>
      <c r="H12" s="147">
        <f t="shared" si="3"/>
        <v>2.6970447160761255</v>
      </c>
      <c r="I12" s="146">
        <v>23484</v>
      </c>
      <c r="J12" s="147">
        <f t="shared" si="3"/>
        <v>-1.715911944421189E-2</v>
      </c>
      <c r="K12" s="146">
        <v>22205</v>
      </c>
      <c r="L12" s="147">
        <f t="shared" si="3"/>
        <v>-5.4462612842786529E-2</v>
      </c>
      <c r="M12" s="146">
        <v>23503</v>
      </c>
      <c r="N12" s="147">
        <f>IFERROR(M12/K12-1,"-")</f>
        <v>5.845530285971634E-2</v>
      </c>
    </row>
    <row r="13" spans="1:15" x14ac:dyDescent="0.25">
      <c r="A13" s="1" t="s">
        <v>80</v>
      </c>
      <c r="B13" s="145" t="s">
        <v>81</v>
      </c>
      <c r="C13" s="146">
        <v>0</v>
      </c>
      <c r="D13" s="147">
        <v>-1</v>
      </c>
      <c r="E13" s="146">
        <v>6823</v>
      </c>
      <c r="F13" s="147" t="str">
        <f t="shared" si="3"/>
        <v>-</v>
      </c>
      <c r="G13" s="146">
        <v>20251</v>
      </c>
      <c r="H13" s="147">
        <f t="shared" si="3"/>
        <v>1.9680492452000586</v>
      </c>
      <c r="I13" s="146">
        <v>21547</v>
      </c>
      <c r="J13" s="147">
        <f t="shared" si="3"/>
        <v>6.3996839662238791E-2</v>
      </c>
      <c r="K13" s="146">
        <v>23449</v>
      </c>
      <c r="L13" s="147">
        <f t="shared" si="3"/>
        <v>8.8272149255116616E-2</v>
      </c>
      <c r="M13" s="146">
        <v>19536</v>
      </c>
      <c r="N13" s="147">
        <f>IFERROR(M13/K13-1,"-")</f>
        <v>-0.16687278775214298</v>
      </c>
    </row>
    <row r="14" spans="1:15" x14ac:dyDescent="0.25">
      <c r="A14" s="1" t="s">
        <v>82</v>
      </c>
      <c r="B14" s="145" t="s">
        <v>83</v>
      </c>
      <c r="C14" s="146">
        <v>0</v>
      </c>
      <c r="D14" s="147">
        <v>-1</v>
      </c>
      <c r="E14" s="146">
        <v>3802</v>
      </c>
      <c r="F14" s="147" t="str">
        <f t="shared" si="3"/>
        <v>-</v>
      </c>
      <c r="G14" s="146">
        <v>18886</v>
      </c>
      <c r="H14" s="147">
        <f t="shared" si="3"/>
        <v>3.9673855865334033</v>
      </c>
      <c r="I14" s="146">
        <v>21065</v>
      </c>
      <c r="J14" s="147">
        <f t="shared" si="3"/>
        <v>0.11537646934237</v>
      </c>
      <c r="K14" s="146">
        <v>22841</v>
      </c>
      <c r="L14" s="147">
        <f t="shared" si="3"/>
        <v>8.4310467600284822E-2</v>
      </c>
      <c r="M14" s="146">
        <v>23159</v>
      </c>
      <c r="N14" s="147">
        <f t="shared" ref="N14:N17" si="5">IFERROR(M14/K14-1,"-")</f>
        <v>1.3922332647432256E-2</v>
      </c>
    </row>
    <row r="15" spans="1:15" x14ac:dyDescent="0.25">
      <c r="A15" s="1" t="s">
        <v>84</v>
      </c>
      <c r="B15" s="145" t="s">
        <v>85</v>
      </c>
      <c r="C15" s="146">
        <v>0</v>
      </c>
      <c r="D15" s="147">
        <v>-1</v>
      </c>
      <c r="E15" s="146">
        <v>10219</v>
      </c>
      <c r="F15" s="147" t="str">
        <f t="shared" si="3"/>
        <v>-</v>
      </c>
      <c r="G15" s="146">
        <v>23111</v>
      </c>
      <c r="H15" s="147">
        <f t="shared" si="3"/>
        <v>1.2615715823466092</v>
      </c>
      <c r="I15" s="146">
        <v>24276</v>
      </c>
      <c r="J15" s="147">
        <f t="shared" si="3"/>
        <v>5.040889619661626E-2</v>
      </c>
      <c r="K15" s="146">
        <v>24893</v>
      </c>
      <c r="L15" s="147">
        <f t="shared" si="3"/>
        <v>2.5416048772450184E-2</v>
      </c>
      <c r="M15" s="146">
        <v>27952</v>
      </c>
      <c r="N15" s="147">
        <f t="shared" si="5"/>
        <v>0.12288595187402085</v>
      </c>
    </row>
    <row r="16" spans="1:15" x14ac:dyDescent="0.25">
      <c r="A16" s="1" t="s">
        <v>86</v>
      </c>
      <c r="B16" s="145" t="s">
        <v>87</v>
      </c>
      <c r="C16" s="146">
        <v>13295</v>
      </c>
      <c r="D16" s="147">
        <v>-0.46193694605204583</v>
      </c>
      <c r="E16" s="146">
        <v>18239</v>
      </c>
      <c r="F16" s="147">
        <f t="shared" si="3"/>
        <v>0.37186912373072589</v>
      </c>
      <c r="G16" s="146">
        <v>24659</v>
      </c>
      <c r="H16" s="147">
        <f t="shared" si="3"/>
        <v>0.35199298207138541</v>
      </c>
      <c r="I16" s="146">
        <v>25495</v>
      </c>
      <c r="J16" s="147">
        <f t="shared" si="3"/>
        <v>3.3902429133379375E-2</v>
      </c>
      <c r="K16" s="146">
        <v>25319</v>
      </c>
      <c r="L16" s="147">
        <f t="shared" si="3"/>
        <v>-6.9033143753677306E-3</v>
      </c>
      <c r="M16" s="146">
        <v>25459</v>
      </c>
      <c r="N16" s="147">
        <f t="shared" si="5"/>
        <v>5.5294442908486729E-3</v>
      </c>
    </row>
    <row r="17" spans="1:15" x14ac:dyDescent="0.25">
      <c r="A17" s="1" t="s">
        <v>88</v>
      </c>
      <c r="B17" s="145" t="s">
        <v>89</v>
      </c>
      <c r="C17" s="146">
        <v>5725</v>
      </c>
      <c r="D17" s="147">
        <v>-0.74152331933721616</v>
      </c>
      <c r="E17" s="146">
        <v>15267</v>
      </c>
      <c r="F17" s="147">
        <f t="shared" si="3"/>
        <v>1.6667248908296943</v>
      </c>
      <c r="G17" s="146">
        <v>20130</v>
      </c>
      <c r="H17" s="147">
        <f t="shared" si="3"/>
        <v>0.31853016309687554</v>
      </c>
      <c r="I17" s="146">
        <v>22106</v>
      </c>
      <c r="J17" s="147">
        <f t="shared" si="3"/>
        <v>9.8161947342275235E-2</v>
      </c>
      <c r="K17" s="146">
        <v>21182</v>
      </c>
      <c r="L17" s="147">
        <f t="shared" si="3"/>
        <v>-4.1798606713109532E-2</v>
      </c>
      <c r="M17" s="146">
        <v>24257</v>
      </c>
      <c r="N17" s="147">
        <f t="shared" si="5"/>
        <v>0.14517042772165056</v>
      </c>
    </row>
    <row r="18" spans="1:15" x14ac:dyDescent="0.25">
      <c r="A18" s="1" t="s">
        <v>90</v>
      </c>
      <c r="B18" s="145" t="s">
        <v>91</v>
      </c>
      <c r="C18" s="146">
        <v>6665</v>
      </c>
      <c r="D18" s="147">
        <v>-0.70771389729421563</v>
      </c>
      <c r="E18" s="146">
        <v>23140</v>
      </c>
      <c r="F18" s="147">
        <f t="shared" si="3"/>
        <v>2.471867966991748</v>
      </c>
      <c r="G18" s="146">
        <v>22327</v>
      </c>
      <c r="H18" s="147">
        <f t="shared" si="3"/>
        <v>-3.5133967156439017E-2</v>
      </c>
      <c r="I18" s="146">
        <v>25007</v>
      </c>
      <c r="J18" s="147">
        <f t="shared" si="3"/>
        <v>0.12003403950373981</v>
      </c>
      <c r="K18" s="146">
        <v>27341</v>
      </c>
      <c r="L18" s="147">
        <f t="shared" si="3"/>
        <v>9.3333866517375075E-2</v>
      </c>
      <c r="M18" s="146"/>
      <c r="N18" s="147"/>
    </row>
    <row r="19" spans="1:15" x14ac:dyDescent="0.25">
      <c r="A19" s="1" t="s">
        <v>92</v>
      </c>
      <c r="B19" s="145" t="s">
        <v>93</v>
      </c>
      <c r="C19" s="146">
        <v>4928</v>
      </c>
      <c r="D19" s="147">
        <v>-0.74807013956341706</v>
      </c>
      <c r="E19" s="146">
        <v>19838</v>
      </c>
      <c r="F19" s="147">
        <f t="shared" si="3"/>
        <v>3.0255681818181817</v>
      </c>
      <c r="G19" s="146">
        <v>21079</v>
      </c>
      <c r="H19" s="147">
        <f t="shared" si="3"/>
        <v>6.2556709345700234E-2</v>
      </c>
      <c r="I19" s="146">
        <v>24207</v>
      </c>
      <c r="J19" s="147">
        <f t="shared" si="3"/>
        <v>0.14839413634422893</v>
      </c>
      <c r="K19" s="146">
        <v>23363</v>
      </c>
      <c r="L19" s="147">
        <f t="shared" si="3"/>
        <v>-3.4865947866319691E-2</v>
      </c>
      <c r="M19" s="146"/>
      <c r="N19" s="147"/>
    </row>
    <row r="20" spans="1:15" x14ac:dyDescent="0.25">
      <c r="A20" s="1" t="s">
        <v>94</v>
      </c>
      <c r="B20" s="145" t="s">
        <v>95</v>
      </c>
      <c r="C20" s="146">
        <v>6261</v>
      </c>
      <c r="D20" s="147">
        <v>-0.70148755602174118</v>
      </c>
      <c r="E20" s="146">
        <v>19784</v>
      </c>
      <c r="F20" s="147">
        <f t="shared" si="3"/>
        <v>2.1598786136399934</v>
      </c>
      <c r="G20" s="146">
        <v>23285</v>
      </c>
      <c r="H20" s="147">
        <f t="shared" si="3"/>
        <v>0.17696118075212297</v>
      </c>
      <c r="I20" s="146">
        <v>24142</v>
      </c>
      <c r="J20" s="147">
        <f t="shared" si="3"/>
        <v>3.6804809963495888E-2</v>
      </c>
      <c r="K20" s="146">
        <v>23290</v>
      </c>
      <c r="L20" s="147">
        <f t="shared" si="3"/>
        <v>-3.5291193770193074E-2</v>
      </c>
      <c r="M20" s="146"/>
      <c r="N20" s="147"/>
    </row>
    <row r="21" spans="1:15" ht="15.75" x14ac:dyDescent="0.25">
      <c r="A21" s="1" t="s">
        <v>0</v>
      </c>
      <c r="B21" s="148" t="s">
        <v>32</v>
      </c>
      <c r="C21" s="149">
        <v>96681</v>
      </c>
      <c r="D21" s="150">
        <v>-0.61362219451371569</v>
      </c>
      <c r="E21" s="149">
        <v>140346</v>
      </c>
      <c r="F21" s="150">
        <f t="shared" si="3"/>
        <v>0.45163992925186958</v>
      </c>
      <c r="G21" s="149">
        <v>257117</v>
      </c>
      <c r="H21" s="150">
        <f t="shared" si="3"/>
        <v>0.83202228777450027</v>
      </c>
      <c r="I21" s="149">
        <v>278594</v>
      </c>
      <c r="J21" s="150">
        <f t="shared" si="3"/>
        <v>8.3530066078866927E-2</v>
      </c>
      <c r="K21" s="149">
        <v>287810</v>
      </c>
      <c r="L21" s="150">
        <f t="shared" si="3"/>
        <v>3.3080396562739978E-2</v>
      </c>
      <c r="M21" s="149">
        <v>213733</v>
      </c>
      <c r="N21" s="150">
        <v>-3.8818423317243944E-4</v>
      </c>
    </row>
    <row r="22" spans="1:15" ht="6" customHeight="1" x14ac:dyDescent="0.25"/>
    <row r="23" spans="1:15" x14ac:dyDescent="0.25">
      <c r="B23" s="131" t="s">
        <v>57</v>
      </c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46"/>
      <c r="N23" s="131"/>
    </row>
    <row r="24" spans="1:15" x14ac:dyDescent="0.25">
      <c r="K24" s="151"/>
      <c r="N24" s="103"/>
    </row>
    <row r="26" spans="1:15" ht="48.75" customHeight="1" thickBot="1" x14ac:dyDescent="0.3">
      <c r="B26" s="12" t="s">
        <v>254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" t="s">
        <v>96</v>
      </c>
    </row>
    <row r="27" spans="1:15" ht="10.5" customHeight="1" thickBot="1" x14ac:dyDescent="0.3">
      <c r="B27" s="132"/>
      <c r="C27" s="133"/>
      <c r="D27" s="132"/>
      <c r="E27" s="132"/>
      <c r="F27" s="132"/>
      <c r="G27" s="132"/>
      <c r="H27" s="132"/>
      <c r="I27" s="132"/>
      <c r="J27" s="132"/>
      <c r="K27" s="132"/>
      <c r="L27" s="132"/>
      <c r="M27" s="4"/>
      <c r="N27" s="4"/>
      <c r="O27" s="1" t="s">
        <v>97</v>
      </c>
    </row>
    <row r="28" spans="1:15" ht="22.5" thickTop="1" thickBot="1" x14ac:dyDescent="0.3">
      <c r="B28" s="152" t="s">
        <v>98</v>
      </c>
      <c r="C28" s="135" t="s">
        <v>139</v>
      </c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</row>
    <row r="29" spans="1:15" ht="22.5" thickTop="1" thickBot="1" x14ac:dyDescent="0.3">
      <c r="B29" s="137"/>
      <c r="C29" s="138">
        <f>E29-1</f>
        <v>2020</v>
      </c>
      <c r="D29" s="139"/>
      <c r="E29" s="140">
        <f t="shared" ref="E29" si="6">G29-1</f>
        <v>2021</v>
      </c>
      <c r="F29" s="139"/>
      <c r="G29" s="140">
        <f t="shared" ref="G29" si="7">I29-1</f>
        <v>2022</v>
      </c>
      <c r="H29" s="139"/>
      <c r="I29" s="140">
        <f t="shared" ref="I29" si="8">K29-1</f>
        <v>2023</v>
      </c>
      <c r="J29" s="139"/>
      <c r="K29" s="140">
        <f>M29-1</f>
        <v>2024</v>
      </c>
      <c r="L29" s="139"/>
      <c r="M29" s="140">
        <v>2025</v>
      </c>
      <c r="N29" s="141"/>
    </row>
    <row r="30" spans="1:15" ht="16.5" thickTop="1" thickBot="1" x14ac:dyDescent="0.3">
      <c r="B30" s="109"/>
      <c r="C30" s="142" t="s">
        <v>71</v>
      </c>
      <c r="D30" s="143" t="str">
        <f>CONCATENATE("var ",RIGHT(C29,2),"/",RIGHT(C29-1,2))</f>
        <v>var 20/19</v>
      </c>
      <c r="E30" s="144" t="s">
        <v>71</v>
      </c>
      <c r="F30" s="143" t="str">
        <f>CONCATENATE("var ",RIGHT(E29,2),"/",RIGHT(E29-1,2))</f>
        <v>var 21/20</v>
      </c>
      <c r="G30" s="144" t="s">
        <v>71</v>
      </c>
      <c r="H30" s="143" t="str">
        <f>CONCATENATE("var ",RIGHT(G29,2),"/",RIGHT(G29-1,2))</f>
        <v>var 22/21</v>
      </c>
      <c r="I30" s="144" t="s">
        <v>71</v>
      </c>
      <c r="J30" s="143" t="str">
        <f>CONCATENATE("var ",RIGHT(I29,2),"/",RIGHT(I29-1,2))</f>
        <v>var 23/22</v>
      </c>
      <c r="K30" s="144" t="s">
        <v>71</v>
      </c>
      <c r="L30" s="143" t="str">
        <f>CONCATENATE("var ",RIGHT(K29,2),"/",RIGHT(K29-1,2))</f>
        <v>var 24/23</v>
      </c>
      <c r="M30" s="144" t="s">
        <v>71</v>
      </c>
      <c r="N30" s="143" t="str">
        <f>CONCATENATE("var ",RIGHT(M29,2),"/",RIGHT(M29-1,2))</f>
        <v>var 25/24</v>
      </c>
    </row>
    <row r="31" spans="1:15" x14ac:dyDescent="0.25">
      <c r="B31" s="145" t="s">
        <v>73</v>
      </c>
      <c r="C31" s="146">
        <v>15979</v>
      </c>
      <c r="D31" s="147">
        <v>0.11398494143892912</v>
      </c>
      <c r="E31" s="146">
        <v>5851</v>
      </c>
      <c r="F31" s="147">
        <f t="shared" ref="F31:L43" si="9">IFERROR(E31/C31-1,"-")</f>
        <v>-0.63383190437449155</v>
      </c>
      <c r="G31" s="146">
        <v>12209</v>
      </c>
      <c r="H31" s="147">
        <f t="shared" si="9"/>
        <v>1.0866518543838661</v>
      </c>
      <c r="I31" s="146">
        <v>18402</v>
      </c>
      <c r="J31" s="147">
        <f t="shared" si="9"/>
        <v>0.50724875092145139</v>
      </c>
      <c r="K31" s="146">
        <v>18282</v>
      </c>
      <c r="L31" s="147">
        <f t="shared" si="9"/>
        <v>-6.5210303227910549E-3</v>
      </c>
      <c r="M31" s="146">
        <v>18130</v>
      </c>
      <c r="N31" s="147">
        <f t="shared" ref="N31:N39" si="10">IFERROR(M31/K31-1,"-")</f>
        <v>-8.3141888196039959E-3</v>
      </c>
    </row>
    <row r="32" spans="1:15" x14ac:dyDescent="0.25">
      <c r="B32" s="145" t="s">
        <v>75</v>
      </c>
      <c r="C32" s="146">
        <v>17138</v>
      </c>
      <c r="D32" s="147">
        <v>0.26779109335700557</v>
      </c>
      <c r="E32" s="146">
        <v>4503</v>
      </c>
      <c r="F32" s="147">
        <f t="shared" si="9"/>
        <v>-0.7372505543237251</v>
      </c>
      <c r="G32" s="146">
        <v>17700</v>
      </c>
      <c r="H32" s="147">
        <f t="shared" si="9"/>
        <v>2.9307128580946036</v>
      </c>
      <c r="I32" s="146">
        <v>18976</v>
      </c>
      <c r="J32" s="147">
        <f t="shared" si="9"/>
        <v>7.2090395480225888E-2</v>
      </c>
      <c r="K32" s="146">
        <v>20148</v>
      </c>
      <c r="L32" s="147">
        <f t="shared" si="9"/>
        <v>6.1762225969645979E-2</v>
      </c>
      <c r="M32" s="146">
        <v>19062</v>
      </c>
      <c r="N32" s="147">
        <f t="shared" si="10"/>
        <v>-5.390113162596788E-2</v>
      </c>
    </row>
    <row r="33" spans="2:15" x14ac:dyDescent="0.25">
      <c r="B33" s="145" t="s">
        <v>77</v>
      </c>
      <c r="C33" s="146">
        <v>6170</v>
      </c>
      <c r="D33" s="147">
        <v>-0.600595546349042</v>
      </c>
      <c r="E33" s="146">
        <v>4438</v>
      </c>
      <c r="F33" s="147">
        <f t="shared" si="9"/>
        <v>-0.28071312803889792</v>
      </c>
      <c r="G33" s="146">
        <v>17761</v>
      </c>
      <c r="H33" s="147">
        <f t="shared" si="9"/>
        <v>3.0020279405137451</v>
      </c>
      <c r="I33" s="146">
        <v>17386</v>
      </c>
      <c r="J33" s="147">
        <f t="shared" si="9"/>
        <v>-2.1113676031754958E-2</v>
      </c>
      <c r="K33" s="146">
        <v>22158</v>
      </c>
      <c r="L33" s="147">
        <f t="shared" si="9"/>
        <v>0.27447371448291724</v>
      </c>
      <c r="M33" s="146">
        <v>19601</v>
      </c>
      <c r="N33" s="147">
        <f t="shared" si="10"/>
        <v>-0.11539850166982579</v>
      </c>
    </row>
    <row r="34" spans="2:15" x14ac:dyDescent="0.25">
      <c r="B34" s="145" t="s">
        <v>79</v>
      </c>
      <c r="C34" s="146">
        <v>0</v>
      </c>
      <c r="D34" s="147">
        <v>-1</v>
      </c>
      <c r="E34" s="146">
        <v>5151</v>
      </c>
      <c r="F34" s="147" t="str">
        <f t="shared" si="9"/>
        <v>-</v>
      </c>
      <c r="G34" s="146">
        <v>19923</v>
      </c>
      <c r="H34" s="147">
        <f t="shared" si="9"/>
        <v>2.8677926616191032</v>
      </c>
      <c r="I34" s="146">
        <v>19332</v>
      </c>
      <c r="J34" s="147">
        <f t="shared" si="9"/>
        <v>-2.9664207197711234E-2</v>
      </c>
      <c r="K34" s="146">
        <v>18488</v>
      </c>
      <c r="L34" s="147">
        <f t="shared" si="9"/>
        <v>-4.3658183322987765E-2</v>
      </c>
      <c r="M34" s="146">
        <v>19232</v>
      </c>
      <c r="N34" s="147">
        <f t="shared" si="10"/>
        <v>4.0242319342276067E-2</v>
      </c>
    </row>
    <row r="35" spans="2:15" x14ac:dyDescent="0.25">
      <c r="B35" s="145" t="s">
        <v>81</v>
      </c>
      <c r="C35" s="146">
        <v>0</v>
      </c>
      <c r="D35" s="147">
        <v>-1</v>
      </c>
      <c r="E35" s="146">
        <v>5283</v>
      </c>
      <c r="F35" s="147" t="str">
        <f t="shared" si="9"/>
        <v>-</v>
      </c>
      <c r="G35" s="146">
        <v>17673</v>
      </c>
      <c r="H35" s="147">
        <f t="shared" si="9"/>
        <v>2.345258375922771</v>
      </c>
      <c r="I35" s="146">
        <v>18326</v>
      </c>
      <c r="J35" s="147">
        <f t="shared" si="9"/>
        <v>3.6949018276466905E-2</v>
      </c>
      <c r="K35" s="146">
        <v>19636</v>
      </c>
      <c r="L35" s="147">
        <f t="shared" si="9"/>
        <v>7.1483138710029426E-2</v>
      </c>
      <c r="M35" s="146">
        <v>15443</v>
      </c>
      <c r="N35" s="147">
        <f t="shared" si="10"/>
        <v>-0.21353636178447744</v>
      </c>
    </row>
    <row r="36" spans="2:15" x14ac:dyDescent="0.25">
      <c r="B36" s="145" t="s">
        <v>83</v>
      </c>
      <c r="C36" s="146">
        <v>0</v>
      </c>
      <c r="D36" s="147">
        <v>-1</v>
      </c>
      <c r="E36" s="146">
        <v>2370</v>
      </c>
      <c r="F36" s="147" t="str">
        <f t="shared" si="9"/>
        <v>-</v>
      </c>
      <c r="G36" s="146">
        <v>15881</v>
      </c>
      <c r="H36" s="147">
        <f t="shared" si="9"/>
        <v>5.7008438818565397</v>
      </c>
      <c r="I36" s="146">
        <v>17783</v>
      </c>
      <c r="J36" s="147">
        <f t="shared" si="9"/>
        <v>0.11976575782381471</v>
      </c>
      <c r="K36" s="146">
        <v>19273</v>
      </c>
      <c r="L36" s="147">
        <f t="shared" si="9"/>
        <v>8.378788730810327E-2</v>
      </c>
      <c r="M36" s="146">
        <v>19200</v>
      </c>
      <c r="N36" s="147">
        <f t="shared" si="10"/>
        <v>-3.7876822497794338E-3</v>
      </c>
    </row>
    <row r="37" spans="2:15" x14ac:dyDescent="0.25">
      <c r="B37" s="145" t="s">
        <v>85</v>
      </c>
      <c r="C37" s="146">
        <v>0</v>
      </c>
      <c r="D37" s="147">
        <v>-1</v>
      </c>
      <c r="E37" s="146">
        <v>8286</v>
      </c>
      <c r="F37" s="147" t="str">
        <f t="shared" si="9"/>
        <v>-</v>
      </c>
      <c r="G37" s="146">
        <v>18743</v>
      </c>
      <c r="H37" s="147">
        <f t="shared" si="9"/>
        <v>1.2620082066135652</v>
      </c>
      <c r="I37" s="146">
        <v>20245</v>
      </c>
      <c r="J37" s="147">
        <f t="shared" si="9"/>
        <v>8.0136584324814519E-2</v>
      </c>
      <c r="K37" s="146">
        <v>20528</v>
      </c>
      <c r="L37" s="147">
        <f t="shared" si="9"/>
        <v>1.3978760187700612E-2</v>
      </c>
      <c r="M37" s="146">
        <v>22688</v>
      </c>
      <c r="N37" s="147">
        <f t="shared" si="10"/>
        <v>0.10522213561964144</v>
      </c>
    </row>
    <row r="38" spans="2:15" x14ac:dyDescent="0.25">
      <c r="B38" s="145" t="s">
        <v>87</v>
      </c>
      <c r="C38" s="146">
        <v>11531</v>
      </c>
      <c r="D38" s="147">
        <v>-0.36854498658342916</v>
      </c>
      <c r="E38" s="146">
        <v>15840</v>
      </c>
      <c r="F38" s="147">
        <f t="shared" si="9"/>
        <v>0.37368831844592831</v>
      </c>
      <c r="G38" s="146">
        <v>20467</v>
      </c>
      <c r="H38" s="147">
        <f t="shared" si="9"/>
        <v>0.2921085858585859</v>
      </c>
      <c r="I38" s="146">
        <v>20391</v>
      </c>
      <c r="J38" s="147">
        <f t="shared" si="9"/>
        <v>-3.7132945717496257E-3</v>
      </c>
      <c r="K38" s="146">
        <v>20545</v>
      </c>
      <c r="L38" s="147">
        <f t="shared" si="9"/>
        <v>7.5523515276347819E-3</v>
      </c>
      <c r="M38" s="146">
        <v>19559</v>
      </c>
      <c r="N38" s="147">
        <f t="shared" si="10"/>
        <v>-4.7992212217084496E-2</v>
      </c>
    </row>
    <row r="39" spans="2:15" x14ac:dyDescent="0.25">
      <c r="B39" s="145" t="s">
        <v>89</v>
      </c>
      <c r="C39" s="146">
        <v>4549</v>
      </c>
      <c r="D39" s="147">
        <v>-0.73217544892552255</v>
      </c>
      <c r="E39" s="146">
        <v>13091</v>
      </c>
      <c r="F39" s="147">
        <f t="shared" si="9"/>
        <v>1.877775335238514</v>
      </c>
      <c r="G39" s="146">
        <v>16918</v>
      </c>
      <c r="H39" s="147">
        <f t="shared" si="9"/>
        <v>0.29233824765105787</v>
      </c>
      <c r="I39" s="146">
        <v>18135</v>
      </c>
      <c r="J39" s="147">
        <f t="shared" si="9"/>
        <v>7.1935216928715073E-2</v>
      </c>
      <c r="K39" s="146">
        <v>17254</v>
      </c>
      <c r="L39" s="147">
        <f t="shared" si="9"/>
        <v>-4.8580093741384056E-2</v>
      </c>
      <c r="M39" s="146">
        <v>20129</v>
      </c>
      <c r="N39" s="147">
        <f t="shared" si="10"/>
        <v>0.16662802828329659</v>
      </c>
    </row>
    <row r="40" spans="2:15" x14ac:dyDescent="0.25">
      <c r="B40" s="145" t="s">
        <v>91</v>
      </c>
      <c r="C40" s="146">
        <v>5837</v>
      </c>
      <c r="D40" s="147">
        <v>-0.66283502772643255</v>
      </c>
      <c r="E40" s="146">
        <v>19624</v>
      </c>
      <c r="F40" s="147">
        <f t="shared" si="9"/>
        <v>2.3620010279253041</v>
      </c>
      <c r="G40" s="146">
        <v>18718</v>
      </c>
      <c r="H40" s="147">
        <f t="shared" si="9"/>
        <v>-4.6167957602935128E-2</v>
      </c>
      <c r="I40" s="146">
        <v>20522</v>
      </c>
      <c r="J40" s="147">
        <f t="shared" si="9"/>
        <v>9.6377818142963978E-2</v>
      </c>
      <c r="K40" s="146">
        <v>22570</v>
      </c>
      <c r="L40" s="147">
        <f t="shared" si="9"/>
        <v>9.9795341584640873E-2</v>
      </c>
      <c r="M40" s="146"/>
      <c r="N40" s="147"/>
    </row>
    <row r="41" spans="2:15" x14ac:dyDescent="0.25">
      <c r="B41" s="145" t="s">
        <v>93</v>
      </c>
      <c r="C41" s="146">
        <v>4402</v>
      </c>
      <c r="D41" s="147">
        <v>-0.68262436914203317</v>
      </c>
      <c r="E41" s="146">
        <v>16458</v>
      </c>
      <c r="F41" s="147">
        <f t="shared" si="9"/>
        <v>2.7387551113130395</v>
      </c>
      <c r="G41" s="146">
        <v>16558</v>
      </c>
      <c r="H41" s="147">
        <f t="shared" si="9"/>
        <v>6.0760724267834298E-3</v>
      </c>
      <c r="I41" s="146">
        <v>20019</v>
      </c>
      <c r="J41" s="147">
        <f t="shared" si="9"/>
        <v>0.2090228288440632</v>
      </c>
      <c r="K41" s="146">
        <v>18565</v>
      </c>
      <c r="L41" s="147">
        <f t="shared" si="9"/>
        <v>-7.263100054947802E-2</v>
      </c>
      <c r="M41" s="146"/>
      <c r="N41" s="147"/>
    </row>
    <row r="42" spans="2:15" x14ac:dyDescent="0.25">
      <c r="B42" s="145" t="s">
        <v>95</v>
      </c>
      <c r="C42" s="146">
        <v>5416</v>
      </c>
      <c r="D42" s="147">
        <v>-0.63651006711409397</v>
      </c>
      <c r="E42" s="146">
        <v>15695</v>
      </c>
      <c r="F42" s="147">
        <f t="shared" si="9"/>
        <v>1.8978951255539145</v>
      </c>
      <c r="G42" s="146">
        <v>18747</v>
      </c>
      <c r="H42" s="147">
        <f t="shared" si="9"/>
        <v>0.19445683338642872</v>
      </c>
      <c r="I42" s="146">
        <v>19529</v>
      </c>
      <c r="J42" s="147">
        <f t="shared" si="9"/>
        <v>4.1713340801194931E-2</v>
      </c>
      <c r="K42" s="146">
        <v>18483</v>
      </c>
      <c r="L42" s="147">
        <f t="shared" si="9"/>
        <v>-5.356137026985508E-2</v>
      </c>
      <c r="M42" s="146"/>
      <c r="N42" s="147"/>
    </row>
    <row r="43" spans="2:15" ht="15.75" x14ac:dyDescent="0.25">
      <c r="B43" s="148" t="s">
        <v>32</v>
      </c>
      <c r="C43" s="149">
        <v>77095</v>
      </c>
      <c r="D43" s="150">
        <v>-0.57073336414305365</v>
      </c>
      <c r="E43" s="149">
        <v>116590</v>
      </c>
      <c r="F43" s="150">
        <f t="shared" si="9"/>
        <v>0.51229003177897403</v>
      </c>
      <c r="G43" s="149">
        <v>211298</v>
      </c>
      <c r="H43" s="150">
        <f t="shared" si="9"/>
        <v>0.81231666523715584</v>
      </c>
      <c r="I43" s="149">
        <v>229046</v>
      </c>
      <c r="J43" s="150">
        <f t="shared" si="9"/>
        <v>8.3995115902658846E-2</v>
      </c>
      <c r="K43" s="149">
        <v>235930</v>
      </c>
      <c r="L43" s="150">
        <f t="shared" si="9"/>
        <v>3.0055098102564459E-2</v>
      </c>
      <c r="M43" s="149">
        <v>173044</v>
      </c>
      <c r="N43" s="150">
        <v>-1.853532374427147E-2</v>
      </c>
    </row>
    <row r="44" spans="2:15" ht="6" customHeight="1" x14ac:dyDescent="0.25"/>
    <row r="45" spans="2:15" x14ac:dyDescent="0.25">
      <c r="B45" s="131" t="s">
        <v>57</v>
      </c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</row>
    <row r="46" spans="2:15" x14ac:dyDescent="0.25">
      <c r="K46" s="103"/>
    </row>
    <row r="48" spans="2:15" ht="48.75" customHeight="1" thickBot="1" x14ac:dyDescent="0.3">
      <c r="B48" s="12" t="s">
        <v>255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" t="s">
        <v>100</v>
      </c>
    </row>
    <row r="49" spans="1:15" ht="10.5" customHeight="1" thickBot="1" x14ac:dyDescent="0.3">
      <c r="B49" s="132"/>
      <c r="C49" s="133"/>
      <c r="D49" s="132"/>
      <c r="E49" s="132"/>
      <c r="F49" s="132"/>
      <c r="G49" s="132"/>
      <c r="H49" s="132"/>
      <c r="I49" s="132"/>
      <c r="J49" s="132"/>
      <c r="K49" s="132"/>
      <c r="L49" s="132"/>
      <c r="M49" s="4"/>
      <c r="N49" s="4"/>
      <c r="O49" s="1" t="s">
        <v>101</v>
      </c>
    </row>
    <row r="50" spans="1:15" ht="22.5" thickTop="1" thickBot="1" x14ac:dyDescent="0.3">
      <c r="B50" s="137"/>
      <c r="C50" s="135" t="s">
        <v>63</v>
      </c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</row>
    <row r="51" spans="1:15" ht="22.5" thickTop="1" thickBot="1" x14ac:dyDescent="0.3">
      <c r="B51" s="137"/>
      <c r="C51" s="138">
        <f>E51-1</f>
        <v>2020</v>
      </c>
      <c r="D51" s="139"/>
      <c r="E51" s="140">
        <f t="shared" ref="E51" si="11">G51-1</f>
        <v>2021</v>
      </c>
      <c r="F51" s="139"/>
      <c r="G51" s="140">
        <f t="shared" ref="G51" si="12">I51-1</f>
        <v>2022</v>
      </c>
      <c r="H51" s="139"/>
      <c r="I51" s="140">
        <f t="shared" ref="I51" si="13">K51-1</f>
        <v>2023</v>
      </c>
      <c r="J51" s="139"/>
      <c r="K51" s="140">
        <f>M51-1</f>
        <v>2024</v>
      </c>
      <c r="L51" s="139"/>
      <c r="M51" s="140">
        <v>2025</v>
      </c>
      <c r="N51" s="141"/>
    </row>
    <row r="52" spans="1:15" ht="16.5" thickTop="1" thickBot="1" x14ac:dyDescent="0.3">
      <c r="B52" s="109"/>
      <c r="C52" s="142" t="s">
        <v>71</v>
      </c>
      <c r="D52" s="143" t="str">
        <f>CONCATENATE("var ",RIGHT(C51,2),"/",RIGHT(C51-1,2))</f>
        <v>var 20/19</v>
      </c>
      <c r="E52" s="144" t="s">
        <v>71</v>
      </c>
      <c r="F52" s="143" t="str">
        <f>CONCATENATE("var ",RIGHT(E51,2),"/",RIGHT(E51-1,2))</f>
        <v>var 21/20</v>
      </c>
      <c r="G52" s="144" t="s">
        <v>71</v>
      </c>
      <c r="H52" s="143" t="str">
        <f>CONCATENATE("var ",RIGHT(G51,2),"/",RIGHT(G51-1,2))</f>
        <v>var 22/21</v>
      </c>
      <c r="I52" s="144" t="s">
        <v>71</v>
      </c>
      <c r="J52" s="143" t="str">
        <f>CONCATENATE("var ",RIGHT(I51,2),"/",RIGHT(I51-1,2))</f>
        <v>var 23/22</v>
      </c>
      <c r="K52" s="144" t="s">
        <v>71</v>
      </c>
      <c r="L52" s="143" t="str">
        <f>CONCATENATE("var ",RIGHT(K51,2),"/",RIGHT(K51-1,2))</f>
        <v>var 24/23</v>
      </c>
      <c r="M52" s="144" t="s">
        <v>71</v>
      </c>
      <c r="N52" s="143" t="str">
        <f>CONCATENATE("var ",RIGHT(M51,2),"/",RIGHT(M51-1,2))</f>
        <v>var 25/24</v>
      </c>
    </row>
    <row r="53" spans="1:15" x14ac:dyDescent="0.25">
      <c r="A53" s="1">
        <v>1</v>
      </c>
      <c r="B53" s="145" t="s">
        <v>73</v>
      </c>
      <c r="C53" s="146">
        <v>13232</v>
      </c>
      <c r="D53" s="147">
        <v>5.1243346309684634E-2</v>
      </c>
      <c r="E53" s="146">
        <v>0</v>
      </c>
      <c r="F53" s="147">
        <f t="shared" ref="F53:L65" si="14">IFERROR(E53/C53-1,"-")</f>
        <v>-1</v>
      </c>
      <c r="G53" s="146">
        <v>9227</v>
      </c>
      <c r="H53" s="147" t="str">
        <f t="shared" si="14"/>
        <v>-</v>
      </c>
      <c r="I53" s="146">
        <v>14935</v>
      </c>
      <c r="J53" s="147">
        <f t="shared" si="14"/>
        <v>0.61861926953506008</v>
      </c>
      <c r="K53" s="146">
        <v>14354</v>
      </c>
      <c r="L53" s="147">
        <f t="shared" si="14"/>
        <v>-3.8901908269166396E-2</v>
      </c>
      <c r="M53" s="146">
        <v>14208</v>
      </c>
      <c r="N53" s="147">
        <f t="shared" ref="N53:N61" si="15">IFERROR(M53/K53-1,"-")</f>
        <v>-1.0171380799777086E-2</v>
      </c>
    </row>
    <row r="54" spans="1:15" x14ac:dyDescent="0.25">
      <c r="A54" s="1">
        <v>2</v>
      </c>
      <c r="B54" s="145" t="s">
        <v>75</v>
      </c>
      <c r="C54" s="146">
        <v>14090</v>
      </c>
      <c r="D54" s="147">
        <v>0.21790993171406337</v>
      </c>
      <c r="E54" s="146">
        <v>0</v>
      </c>
      <c r="F54" s="147">
        <f t="shared" si="14"/>
        <v>-1</v>
      </c>
      <c r="G54" s="146">
        <v>13725</v>
      </c>
      <c r="H54" s="147" t="str">
        <f t="shared" si="14"/>
        <v>-</v>
      </c>
      <c r="I54" s="146">
        <v>15417</v>
      </c>
      <c r="J54" s="147">
        <f t="shared" si="14"/>
        <v>0.12327868852459023</v>
      </c>
      <c r="K54" s="146">
        <v>15736</v>
      </c>
      <c r="L54" s="147">
        <f t="shared" si="14"/>
        <v>2.0691444509307821E-2</v>
      </c>
      <c r="M54" s="146">
        <v>15122</v>
      </c>
      <c r="N54" s="147">
        <f t="shared" si="15"/>
        <v>-3.9018810371123536E-2</v>
      </c>
    </row>
    <row r="55" spans="1:15" x14ac:dyDescent="0.25">
      <c r="A55" s="1">
        <v>3</v>
      </c>
      <c r="B55" s="145" t="s">
        <v>77</v>
      </c>
      <c r="C55" s="146">
        <v>5212</v>
      </c>
      <c r="D55" s="147">
        <v>-0.60198549064528439</v>
      </c>
      <c r="E55" s="146">
        <v>0</v>
      </c>
      <c r="F55" s="147">
        <f t="shared" si="14"/>
        <v>-1</v>
      </c>
      <c r="G55" s="146">
        <v>13764</v>
      </c>
      <c r="H55" s="147" t="str">
        <f t="shared" si="14"/>
        <v>-</v>
      </c>
      <c r="I55" s="146">
        <v>13769</v>
      </c>
      <c r="J55" s="147">
        <f t="shared" si="14"/>
        <v>3.6326649229878605E-4</v>
      </c>
      <c r="K55" s="146">
        <v>17491</v>
      </c>
      <c r="L55" s="147">
        <f t="shared" si="14"/>
        <v>0.27031737962088753</v>
      </c>
      <c r="M55" s="146">
        <v>15694</v>
      </c>
      <c r="N55" s="147">
        <f t="shared" si="15"/>
        <v>-0.10273855125493114</v>
      </c>
    </row>
    <row r="56" spans="1:15" x14ac:dyDescent="0.25">
      <c r="A56" s="1">
        <v>4</v>
      </c>
      <c r="B56" s="145" t="s">
        <v>79</v>
      </c>
      <c r="C56" s="146">
        <v>0</v>
      </c>
      <c r="D56" s="147">
        <v>-1</v>
      </c>
      <c r="E56" s="146">
        <v>0</v>
      </c>
      <c r="F56" s="147" t="str">
        <f t="shared" si="14"/>
        <v>-</v>
      </c>
      <c r="G56" s="146">
        <v>16004</v>
      </c>
      <c r="H56" s="147" t="str">
        <f t="shared" si="14"/>
        <v>-</v>
      </c>
      <c r="I56" s="146">
        <v>15420</v>
      </c>
      <c r="J56" s="147">
        <f t="shared" si="14"/>
        <v>-3.649087728067979E-2</v>
      </c>
      <c r="K56" s="146">
        <v>14826</v>
      </c>
      <c r="L56" s="147">
        <f t="shared" si="14"/>
        <v>-3.8521400778210091E-2</v>
      </c>
      <c r="M56" s="146">
        <v>15532</v>
      </c>
      <c r="N56" s="147">
        <f t="shared" si="15"/>
        <v>4.7619047619047672E-2</v>
      </c>
    </row>
    <row r="57" spans="1:15" x14ac:dyDescent="0.25">
      <c r="A57" s="1">
        <v>5</v>
      </c>
      <c r="B57" s="145" t="s">
        <v>81</v>
      </c>
      <c r="C57" s="146">
        <v>0</v>
      </c>
      <c r="D57" s="147">
        <v>-1</v>
      </c>
      <c r="E57" s="146">
        <v>0</v>
      </c>
      <c r="F57" s="147" t="str">
        <f t="shared" si="14"/>
        <v>-</v>
      </c>
      <c r="G57" s="146">
        <v>13304</v>
      </c>
      <c r="H57" s="147" t="str">
        <f t="shared" si="14"/>
        <v>-</v>
      </c>
      <c r="I57" s="146">
        <v>14308</v>
      </c>
      <c r="J57" s="147">
        <f t="shared" si="14"/>
        <v>7.5466025255562341E-2</v>
      </c>
      <c r="K57" s="146">
        <v>15219</v>
      </c>
      <c r="L57" s="147">
        <f t="shared" si="14"/>
        <v>6.3670673748951634E-2</v>
      </c>
      <c r="M57" s="146">
        <v>10784</v>
      </c>
      <c r="N57" s="147">
        <f t="shared" si="15"/>
        <v>-0.29141205072606613</v>
      </c>
    </row>
    <row r="58" spans="1:15" x14ac:dyDescent="0.25">
      <c r="A58" s="1">
        <v>6</v>
      </c>
      <c r="B58" s="145" t="s">
        <v>83</v>
      </c>
      <c r="C58" s="146">
        <v>0</v>
      </c>
      <c r="D58" s="147">
        <v>-1</v>
      </c>
      <c r="E58" s="146">
        <v>0</v>
      </c>
      <c r="F58" s="147" t="str">
        <f t="shared" si="14"/>
        <v>-</v>
      </c>
      <c r="G58" s="146">
        <v>11604</v>
      </c>
      <c r="H58" s="147" t="str">
        <f t="shared" si="14"/>
        <v>-</v>
      </c>
      <c r="I58" s="146">
        <v>13809</v>
      </c>
      <c r="J58" s="147">
        <f t="shared" si="14"/>
        <v>0.19002068252326776</v>
      </c>
      <c r="K58" s="146">
        <v>14680</v>
      </c>
      <c r="L58" s="147">
        <f t="shared" si="14"/>
        <v>6.3074806285755569E-2</v>
      </c>
      <c r="M58" s="146">
        <v>14746</v>
      </c>
      <c r="N58" s="147">
        <f t="shared" si="15"/>
        <v>4.4959128065396037E-3</v>
      </c>
    </row>
    <row r="59" spans="1:15" x14ac:dyDescent="0.25">
      <c r="A59" s="1">
        <v>7</v>
      </c>
      <c r="B59" s="145" t="s">
        <v>85</v>
      </c>
      <c r="C59" s="146">
        <v>0</v>
      </c>
      <c r="D59" s="147">
        <v>-1</v>
      </c>
      <c r="E59" s="146">
        <v>5496</v>
      </c>
      <c r="F59" s="147" t="str">
        <f t="shared" si="14"/>
        <v>-</v>
      </c>
      <c r="G59" s="146">
        <v>13798</v>
      </c>
      <c r="H59" s="147">
        <f t="shared" si="14"/>
        <v>1.5105531295487626</v>
      </c>
      <c r="I59" s="146">
        <v>15626</v>
      </c>
      <c r="J59" s="147">
        <f t="shared" si="14"/>
        <v>0.13248296854616615</v>
      </c>
      <c r="K59" s="146">
        <v>15688</v>
      </c>
      <c r="L59" s="147">
        <f t="shared" si="14"/>
        <v>3.9677460642519868E-3</v>
      </c>
      <c r="M59" s="146">
        <v>17978</v>
      </c>
      <c r="N59" s="147">
        <f t="shared" si="15"/>
        <v>0.14597144314125443</v>
      </c>
    </row>
    <row r="60" spans="1:15" x14ac:dyDescent="0.25">
      <c r="A60" s="1">
        <v>8</v>
      </c>
      <c r="B60" s="145" t="s">
        <v>87</v>
      </c>
      <c r="C60" s="146">
        <v>8422</v>
      </c>
      <c r="D60" s="147">
        <v>-0.44723024415857182</v>
      </c>
      <c r="E60" s="146">
        <v>9978</v>
      </c>
      <c r="F60" s="147">
        <f t="shared" si="14"/>
        <v>0.18475421515079549</v>
      </c>
      <c r="G60" s="146">
        <v>15896</v>
      </c>
      <c r="H60" s="147">
        <f t="shared" si="14"/>
        <v>0.59310483062738029</v>
      </c>
      <c r="I60" s="146">
        <v>15580</v>
      </c>
      <c r="J60" s="147">
        <f t="shared" si="14"/>
        <v>-1.9879214896829422E-2</v>
      </c>
      <c r="K60" s="146">
        <v>15273</v>
      </c>
      <c r="L60" s="147">
        <f t="shared" si="14"/>
        <v>-1.9704749679075761E-2</v>
      </c>
      <c r="M60" s="146">
        <v>14386</v>
      </c>
      <c r="N60" s="147">
        <f t="shared" si="15"/>
        <v>-5.8076343874811753E-2</v>
      </c>
    </row>
    <row r="61" spans="1:15" x14ac:dyDescent="0.25">
      <c r="A61" s="1">
        <v>9</v>
      </c>
      <c r="B61" s="145" t="s">
        <v>89</v>
      </c>
      <c r="C61" s="146">
        <v>0</v>
      </c>
      <c r="D61" s="147">
        <v>-1</v>
      </c>
      <c r="E61" s="146">
        <v>9556</v>
      </c>
      <c r="F61" s="147" t="str">
        <f t="shared" si="14"/>
        <v>-</v>
      </c>
      <c r="G61" s="146">
        <v>12977</v>
      </c>
      <c r="H61" s="147">
        <f t="shared" si="14"/>
        <v>0.35799497697781502</v>
      </c>
      <c r="I61" s="146">
        <v>14015</v>
      </c>
      <c r="J61" s="147">
        <f t="shared" si="14"/>
        <v>7.9987670493950835E-2</v>
      </c>
      <c r="K61" s="146">
        <v>12989</v>
      </c>
      <c r="L61" s="147">
        <f t="shared" si="14"/>
        <v>-7.3207277916518043E-2</v>
      </c>
      <c r="M61" s="146">
        <v>16265</v>
      </c>
      <c r="N61" s="147">
        <f t="shared" si="15"/>
        <v>0.25221341134806385</v>
      </c>
    </row>
    <row r="62" spans="1:15" x14ac:dyDescent="0.25">
      <c r="A62" s="1">
        <v>10</v>
      </c>
      <c r="B62" s="145" t="s">
        <v>91</v>
      </c>
      <c r="C62" s="146">
        <v>0</v>
      </c>
      <c r="D62" s="147">
        <v>-1</v>
      </c>
      <c r="E62" s="146">
        <v>14899</v>
      </c>
      <c r="F62" s="147" t="str">
        <f t="shared" si="14"/>
        <v>-</v>
      </c>
      <c r="G62" s="146">
        <v>14897</v>
      </c>
      <c r="H62" s="147">
        <f t="shared" si="14"/>
        <v>-1.3423719712735149E-4</v>
      </c>
      <c r="I62" s="146">
        <v>15893</v>
      </c>
      <c r="J62" s="147">
        <f t="shared" si="14"/>
        <v>6.6859099147479339E-2</v>
      </c>
      <c r="K62" s="146">
        <v>17980</v>
      </c>
      <c r="L62" s="147">
        <f t="shared" si="14"/>
        <v>0.13131567356697915</v>
      </c>
      <c r="M62" s="146"/>
      <c r="N62" s="147"/>
    </row>
    <row r="63" spans="1:15" x14ac:dyDescent="0.25">
      <c r="A63" s="1">
        <v>11</v>
      </c>
      <c r="B63" s="145" t="s">
        <v>93</v>
      </c>
      <c r="C63" s="146">
        <v>0</v>
      </c>
      <c r="D63" s="147">
        <v>-1</v>
      </c>
      <c r="E63" s="146">
        <v>12140</v>
      </c>
      <c r="F63" s="147" t="str">
        <f t="shared" si="14"/>
        <v>-</v>
      </c>
      <c r="G63" s="146">
        <v>13391</v>
      </c>
      <c r="H63" s="147">
        <f t="shared" si="14"/>
        <v>0.10304777594728165</v>
      </c>
      <c r="I63" s="146">
        <v>15821</v>
      </c>
      <c r="J63" s="147">
        <f t="shared" si="14"/>
        <v>0.18146516316929273</v>
      </c>
      <c r="K63" s="146">
        <v>14412</v>
      </c>
      <c r="L63" s="147">
        <f t="shared" si="14"/>
        <v>-8.9058845837810541E-2</v>
      </c>
      <c r="M63" s="146"/>
      <c r="N63" s="147"/>
    </row>
    <row r="64" spans="1:15" x14ac:dyDescent="0.25">
      <c r="A64" s="1">
        <v>12</v>
      </c>
      <c r="B64" s="145" t="s">
        <v>95</v>
      </c>
      <c r="C64" s="146">
        <v>0</v>
      </c>
      <c r="D64" s="147">
        <v>-1</v>
      </c>
      <c r="E64" s="146">
        <v>12078</v>
      </c>
      <c r="F64" s="147" t="str">
        <f t="shared" si="14"/>
        <v>-</v>
      </c>
      <c r="G64" s="146">
        <v>15326</v>
      </c>
      <c r="H64" s="147">
        <f t="shared" si="14"/>
        <v>0.26891869514820343</v>
      </c>
      <c r="I64" s="146">
        <v>15445</v>
      </c>
      <c r="J64" s="147">
        <f t="shared" si="14"/>
        <v>7.7645830614641032E-3</v>
      </c>
      <c r="K64" s="146">
        <v>14687</v>
      </c>
      <c r="L64" s="147">
        <f t="shared" si="14"/>
        <v>-4.90773713175785E-2</v>
      </c>
      <c r="M64" s="146"/>
      <c r="N64" s="147"/>
    </row>
    <row r="65" spans="1:15" ht="15.75" x14ac:dyDescent="0.25">
      <c r="B65" s="148" t="s">
        <v>32</v>
      </c>
      <c r="C65" s="149">
        <v>0</v>
      </c>
      <c r="D65" s="150">
        <v>-1</v>
      </c>
      <c r="E65" s="149">
        <v>87353</v>
      </c>
      <c r="F65" s="150" t="str">
        <f t="shared" si="14"/>
        <v>-</v>
      </c>
      <c r="G65" s="149">
        <v>163913</v>
      </c>
      <c r="H65" s="150">
        <f t="shared" si="14"/>
        <v>0.8764438542465629</v>
      </c>
      <c r="I65" s="149">
        <v>180038</v>
      </c>
      <c r="J65" s="150">
        <f t="shared" si="14"/>
        <v>9.8375357659246099E-2</v>
      </c>
      <c r="K65" s="149">
        <v>183335</v>
      </c>
      <c r="L65" s="150">
        <f t="shared" si="14"/>
        <v>1.8312800630977843E-2</v>
      </c>
      <c r="M65" s="149">
        <v>134715</v>
      </c>
      <c r="N65" s="150">
        <v>-1.1309593705965293E-2</v>
      </c>
    </row>
    <row r="66" spans="1:15" ht="6" customHeight="1" x14ac:dyDescent="0.25"/>
    <row r="67" spans="1:15" x14ac:dyDescent="0.25">
      <c r="B67" s="131" t="s">
        <v>57</v>
      </c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</row>
    <row r="70" spans="1:15" ht="48.75" customHeight="1" thickBot="1" x14ac:dyDescent="0.3">
      <c r="B70" s="12" t="s">
        <v>256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" t="s">
        <v>103</v>
      </c>
    </row>
    <row r="71" spans="1:15" ht="10.5" customHeight="1" thickBot="1" x14ac:dyDescent="0.3">
      <c r="B71" s="132"/>
      <c r="C71" s="133"/>
      <c r="D71" s="132"/>
      <c r="E71" s="132"/>
      <c r="F71" s="132"/>
      <c r="G71" s="132"/>
      <c r="H71" s="132"/>
      <c r="I71" s="132"/>
      <c r="J71" s="132"/>
      <c r="K71" s="132"/>
      <c r="L71" s="132"/>
      <c r="M71" s="4"/>
      <c r="N71" s="4"/>
      <c r="O71" s="1" t="s">
        <v>104</v>
      </c>
    </row>
    <row r="72" spans="1:15" ht="22.5" thickTop="1" thickBot="1" x14ac:dyDescent="0.3">
      <c r="B72" s="137"/>
      <c r="C72" s="135" t="s">
        <v>64</v>
      </c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</row>
    <row r="73" spans="1:15" ht="22.5" thickTop="1" thickBot="1" x14ac:dyDescent="0.3">
      <c r="B73" s="137"/>
      <c r="C73" s="138">
        <f>E73-1</f>
        <v>2020</v>
      </c>
      <c r="D73" s="139"/>
      <c r="E73" s="140">
        <f t="shared" ref="E73" si="16">G73-1</f>
        <v>2021</v>
      </c>
      <c r="F73" s="139"/>
      <c r="G73" s="140">
        <f t="shared" ref="G73" si="17">I73-1</f>
        <v>2022</v>
      </c>
      <c r="H73" s="139"/>
      <c r="I73" s="140">
        <f t="shared" ref="I73" si="18">K73-1</f>
        <v>2023</v>
      </c>
      <c r="J73" s="139"/>
      <c r="K73" s="140">
        <f>M73-1</f>
        <v>2024</v>
      </c>
      <c r="L73" s="139"/>
      <c r="M73" s="140">
        <v>2025</v>
      </c>
      <c r="N73" s="141"/>
    </row>
    <row r="74" spans="1:15" ht="16.5" thickTop="1" thickBot="1" x14ac:dyDescent="0.3">
      <c r="B74" s="109"/>
      <c r="C74" s="142" t="s">
        <v>71</v>
      </c>
      <c r="D74" s="143" t="str">
        <f>CONCATENATE("var ",RIGHT(C73,2),"/",RIGHT(C73-1,2))</f>
        <v>var 20/19</v>
      </c>
      <c r="E74" s="144" t="s">
        <v>71</v>
      </c>
      <c r="F74" s="143" t="str">
        <f>CONCATENATE("var ",RIGHT(E73,2),"/",RIGHT(E73-1,2))</f>
        <v>var 21/20</v>
      </c>
      <c r="G74" s="144" t="s">
        <v>71</v>
      </c>
      <c r="H74" s="143" t="str">
        <f>CONCATENATE("var ",RIGHT(G73,2),"/",RIGHT(G73-1,2))</f>
        <v>var 22/21</v>
      </c>
      <c r="I74" s="144" t="s">
        <v>71</v>
      </c>
      <c r="J74" s="143" t="str">
        <f>CONCATENATE("var ",RIGHT(I73,2),"/",RIGHT(I73-1,2))</f>
        <v>var 23/22</v>
      </c>
      <c r="K74" s="144" t="s">
        <v>71</v>
      </c>
      <c r="L74" s="143" t="str">
        <f>CONCATENATE("var ",RIGHT(K73,2),"/",RIGHT(K73-1,2))</f>
        <v>var 24/23</v>
      </c>
      <c r="M74" s="144" t="s">
        <v>71</v>
      </c>
      <c r="N74" s="143" t="str">
        <f>CONCATENATE("var ",RIGHT(M73,2),"/",RIGHT(M73-1,2))</f>
        <v>var 25/24</v>
      </c>
    </row>
    <row r="75" spans="1:15" x14ac:dyDescent="0.25">
      <c r="A75" s="1">
        <v>1</v>
      </c>
      <c r="B75" s="145" t="s">
        <v>73</v>
      </c>
      <c r="C75" s="146">
        <v>2747</v>
      </c>
      <c r="D75" s="147">
        <v>0.56346044393853156</v>
      </c>
      <c r="E75" s="146">
        <v>0</v>
      </c>
      <c r="F75" s="147">
        <f t="shared" ref="F75:L87" si="19">IFERROR(E75/C75-1,"-")</f>
        <v>-1</v>
      </c>
      <c r="G75" s="146">
        <v>2982</v>
      </c>
      <c r="H75" s="147" t="str">
        <f t="shared" si="19"/>
        <v>-</v>
      </c>
      <c r="I75" s="146">
        <v>3467</v>
      </c>
      <c r="J75" s="147">
        <f t="shared" si="19"/>
        <v>0.16264252179745142</v>
      </c>
      <c r="K75" s="146">
        <v>3928</v>
      </c>
      <c r="L75" s="147">
        <f t="shared" si="19"/>
        <v>0.13296798384770692</v>
      </c>
      <c r="M75" s="146">
        <v>3922</v>
      </c>
      <c r="N75" s="147">
        <f t="shared" ref="N75:N83" si="20">IFERROR(M75/K75-1,"-")</f>
        <v>-1.5274949083503575E-3</v>
      </c>
    </row>
    <row r="76" spans="1:15" x14ac:dyDescent="0.25">
      <c r="A76" s="1">
        <v>2</v>
      </c>
      <c r="B76" s="145" t="s">
        <v>75</v>
      </c>
      <c r="C76" s="146">
        <v>3048</v>
      </c>
      <c r="D76" s="147">
        <v>0.56387891226269882</v>
      </c>
      <c r="E76" s="146">
        <v>0</v>
      </c>
      <c r="F76" s="147">
        <f t="shared" si="19"/>
        <v>-1</v>
      </c>
      <c r="G76" s="146">
        <v>3975</v>
      </c>
      <c r="H76" s="147" t="str">
        <f t="shared" si="19"/>
        <v>-</v>
      </c>
      <c r="I76" s="146">
        <v>3559</v>
      </c>
      <c r="J76" s="147">
        <f t="shared" si="19"/>
        <v>-0.10465408805031451</v>
      </c>
      <c r="K76" s="146">
        <v>4412</v>
      </c>
      <c r="L76" s="147">
        <f t="shared" si="19"/>
        <v>0.2396740657488059</v>
      </c>
      <c r="M76" s="146">
        <v>3940</v>
      </c>
      <c r="N76" s="147">
        <f t="shared" si="20"/>
        <v>-0.10698096101541255</v>
      </c>
    </row>
    <row r="77" spans="1:15" x14ac:dyDescent="0.25">
      <c r="A77" s="1">
        <v>3</v>
      </c>
      <c r="B77" s="145" t="s">
        <v>77</v>
      </c>
      <c r="C77" s="146">
        <v>958</v>
      </c>
      <c r="D77" s="147">
        <v>-0.59286017849553763</v>
      </c>
      <c r="E77" s="146">
        <v>0</v>
      </c>
      <c r="F77" s="147">
        <f t="shared" si="19"/>
        <v>-1</v>
      </c>
      <c r="G77" s="146">
        <v>3997</v>
      </c>
      <c r="H77" s="147" t="str">
        <f t="shared" si="19"/>
        <v>-</v>
      </c>
      <c r="I77" s="146">
        <v>3617</v>
      </c>
      <c r="J77" s="147">
        <f t="shared" si="19"/>
        <v>-9.5071303477608171E-2</v>
      </c>
      <c r="K77" s="146">
        <v>4667</v>
      </c>
      <c r="L77" s="147">
        <f t="shared" si="19"/>
        <v>0.29029582526956044</v>
      </c>
      <c r="M77" s="146">
        <v>3907</v>
      </c>
      <c r="N77" s="147">
        <f t="shared" si="20"/>
        <v>-0.16284551103492606</v>
      </c>
    </row>
    <row r="78" spans="1:15" x14ac:dyDescent="0.25">
      <c r="A78" s="1">
        <v>4</v>
      </c>
      <c r="B78" s="145" t="s">
        <v>79</v>
      </c>
      <c r="C78" s="146">
        <v>0</v>
      </c>
      <c r="D78" s="147">
        <v>-1</v>
      </c>
      <c r="E78" s="146">
        <v>0</v>
      </c>
      <c r="F78" s="147" t="str">
        <f t="shared" si="19"/>
        <v>-</v>
      </c>
      <c r="G78" s="146">
        <v>3919</v>
      </c>
      <c r="H78" s="147" t="str">
        <f t="shared" si="19"/>
        <v>-</v>
      </c>
      <c r="I78" s="146">
        <v>3912</v>
      </c>
      <c r="J78" s="147">
        <f t="shared" si="19"/>
        <v>-1.7861699413115328E-3</v>
      </c>
      <c r="K78" s="146">
        <v>3662</v>
      </c>
      <c r="L78" s="147">
        <f t="shared" si="19"/>
        <v>-6.3905930470347649E-2</v>
      </c>
      <c r="M78" s="146">
        <v>3700</v>
      </c>
      <c r="N78" s="147">
        <f t="shared" si="20"/>
        <v>1.0376843255051948E-2</v>
      </c>
    </row>
    <row r="79" spans="1:15" x14ac:dyDescent="0.25">
      <c r="A79" s="1">
        <v>5</v>
      </c>
      <c r="B79" s="145" t="s">
        <v>81</v>
      </c>
      <c r="C79" s="146">
        <v>0</v>
      </c>
      <c r="D79" s="147">
        <v>-1</v>
      </c>
      <c r="E79" s="146">
        <v>0</v>
      </c>
      <c r="F79" s="147" t="str">
        <f t="shared" si="19"/>
        <v>-</v>
      </c>
      <c r="G79" s="146">
        <v>4369</v>
      </c>
      <c r="H79" s="147" t="str">
        <f t="shared" si="19"/>
        <v>-</v>
      </c>
      <c r="I79" s="146">
        <v>4018</v>
      </c>
      <c r="J79" s="147">
        <f t="shared" si="19"/>
        <v>-8.0338750286106708E-2</v>
      </c>
      <c r="K79" s="146">
        <v>4417</v>
      </c>
      <c r="L79" s="147">
        <f t="shared" si="19"/>
        <v>9.9303135888501703E-2</v>
      </c>
      <c r="M79" s="146">
        <v>4659</v>
      </c>
      <c r="N79" s="147">
        <f t="shared" si="20"/>
        <v>5.4788317862802804E-2</v>
      </c>
    </row>
    <row r="80" spans="1:15" x14ac:dyDescent="0.25">
      <c r="A80" s="1">
        <v>6</v>
      </c>
      <c r="B80" s="145" t="s">
        <v>83</v>
      </c>
      <c r="C80" s="146">
        <v>0</v>
      </c>
      <c r="D80" s="147">
        <v>-1</v>
      </c>
      <c r="E80" s="146">
        <v>0</v>
      </c>
      <c r="F80" s="147" t="str">
        <f t="shared" si="19"/>
        <v>-</v>
      </c>
      <c r="G80" s="146">
        <v>4277</v>
      </c>
      <c r="H80" s="147" t="str">
        <f t="shared" si="19"/>
        <v>-</v>
      </c>
      <c r="I80" s="146">
        <v>3974</v>
      </c>
      <c r="J80" s="147">
        <f t="shared" si="19"/>
        <v>-7.0844049567453826E-2</v>
      </c>
      <c r="K80" s="146">
        <v>4593</v>
      </c>
      <c r="L80" s="147">
        <f t="shared" si="19"/>
        <v>0.15576245596376448</v>
      </c>
      <c r="M80" s="146">
        <v>4454</v>
      </c>
      <c r="N80" s="147">
        <f t="shared" si="20"/>
        <v>-3.026344437187023E-2</v>
      </c>
    </row>
    <row r="81" spans="1:15" x14ac:dyDescent="0.25">
      <c r="A81" s="1">
        <v>7</v>
      </c>
      <c r="B81" s="145" t="s">
        <v>85</v>
      </c>
      <c r="C81" s="146">
        <v>0</v>
      </c>
      <c r="D81" s="147">
        <v>-1</v>
      </c>
      <c r="E81" s="146">
        <v>2790</v>
      </c>
      <c r="F81" s="147" t="str">
        <f t="shared" si="19"/>
        <v>-</v>
      </c>
      <c r="G81" s="146">
        <v>4945</v>
      </c>
      <c r="H81" s="147">
        <f t="shared" si="19"/>
        <v>0.77240143369175618</v>
      </c>
      <c r="I81" s="146">
        <v>4619</v>
      </c>
      <c r="J81" s="147">
        <f t="shared" si="19"/>
        <v>-6.5925176946410535E-2</v>
      </c>
      <c r="K81" s="146">
        <v>4840</v>
      </c>
      <c r="L81" s="147">
        <f t="shared" si="19"/>
        <v>4.7845854080969863E-2</v>
      </c>
      <c r="M81" s="146">
        <v>4710</v>
      </c>
      <c r="N81" s="147">
        <f t="shared" si="20"/>
        <v>-2.6859504132231371E-2</v>
      </c>
    </row>
    <row r="82" spans="1:15" x14ac:dyDescent="0.25">
      <c r="A82" s="1">
        <v>8</v>
      </c>
      <c r="B82" s="145" t="s">
        <v>87</v>
      </c>
      <c r="C82" s="146">
        <v>3109</v>
      </c>
      <c r="D82" s="147">
        <v>2.776859504132223E-2</v>
      </c>
      <c r="E82" s="146">
        <v>5862</v>
      </c>
      <c r="F82" s="147">
        <f t="shared" si="19"/>
        <v>0.88549372788678027</v>
      </c>
      <c r="G82" s="146">
        <v>4571</v>
      </c>
      <c r="H82" s="147">
        <f t="shared" si="19"/>
        <v>-0.22023200272944388</v>
      </c>
      <c r="I82" s="146">
        <v>4811</v>
      </c>
      <c r="J82" s="147">
        <f t="shared" si="19"/>
        <v>5.2504922336469084E-2</v>
      </c>
      <c r="K82" s="146">
        <v>5272</v>
      </c>
      <c r="L82" s="147">
        <f t="shared" si="19"/>
        <v>9.5822074412803993E-2</v>
      </c>
      <c r="M82" s="146">
        <v>5173</v>
      </c>
      <c r="N82" s="147">
        <f t="shared" si="20"/>
        <v>-1.8778452200303497E-2</v>
      </c>
    </row>
    <row r="83" spans="1:15" x14ac:dyDescent="0.25">
      <c r="A83" s="1">
        <v>9</v>
      </c>
      <c r="B83" s="145" t="s">
        <v>89</v>
      </c>
      <c r="C83" s="146">
        <v>0</v>
      </c>
      <c r="D83" s="147">
        <v>-1</v>
      </c>
      <c r="E83" s="146">
        <v>3535</v>
      </c>
      <c r="F83" s="147" t="str">
        <f t="shared" si="19"/>
        <v>-</v>
      </c>
      <c r="G83" s="146">
        <v>3941</v>
      </c>
      <c r="H83" s="147">
        <f t="shared" si="19"/>
        <v>0.11485148514851495</v>
      </c>
      <c r="I83" s="146">
        <v>4120</v>
      </c>
      <c r="J83" s="147">
        <f t="shared" si="19"/>
        <v>4.5419944176604998E-2</v>
      </c>
      <c r="K83" s="146">
        <v>4265</v>
      </c>
      <c r="L83" s="147">
        <f t="shared" si="19"/>
        <v>3.5194174757281482E-2</v>
      </c>
      <c r="M83" s="146">
        <v>3864</v>
      </c>
      <c r="N83" s="147">
        <f t="shared" si="20"/>
        <v>-9.4021101992965983E-2</v>
      </c>
    </row>
    <row r="84" spans="1:15" x14ac:dyDescent="0.25">
      <c r="A84" s="1">
        <v>10</v>
      </c>
      <c r="B84" s="145" t="s">
        <v>91</v>
      </c>
      <c r="C84" s="146">
        <v>0</v>
      </c>
      <c r="D84" s="147">
        <v>-1</v>
      </c>
      <c r="E84" s="146">
        <v>4725</v>
      </c>
      <c r="F84" s="147" t="str">
        <f t="shared" si="19"/>
        <v>-</v>
      </c>
      <c r="G84" s="146">
        <v>3821</v>
      </c>
      <c r="H84" s="147">
        <f t="shared" si="19"/>
        <v>-0.19132275132275134</v>
      </c>
      <c r="I84" s="146">
        <v>4629</v>
      </c>
      <c r="J84" s="147">
        <f t="shared" si="19"/>
        <v>0.21146296780947393</v>
      </c>
      <c r="K84" s="146">
        <v>4590</v>
      </c>
      <c r="L84" s="147">
        <f t="shared" si="19"/>
        <v>-8.4251458198314477E-3</v>
      </c>
      <c r="M84" s="146"/>
      <c r="N84" s="147"/>
    </row>
    <row r="85" spans="1:15" x14ac:dyDescent="0.25">
      <c r="A85" s="1">
        <v>11</v>
      </c>
      <c r="B85" s="145" t="s">
        <v>93</v>
      </c>
      <c r="C85" s="146">
        <v>0</v>
      </c>
      <c r="D85" s="147">
        <v>-1</v>
      </c>
      <c r="E85" s="146">
        <v>4318</v>
      </c>
      <c r="F85" s="147" t="str">
        <f t="shared" si="19"/>
        <v>-</v>
      </c>
      <c r="G85" s="146">
        <v>3167</v>
      </c>
      <c r="H85" s="147">
        <f t="shared" si="19"/>
        <v>-0.2665585919407133</v>
      </c>
      <c r="I85" s="146">
        <v>4198</v>
      </c>
      <c r="J85" s="147">
        <f t="shared" si="19"/>
        <v>0.32554467950742016</v>
      </c>
      <c r="K85" s="146">
        <v>4153</v>
      </c>
      <c r="L85" s="147">
        <f t="shared" si="19"/>
        <v>-1.0719390185802813E-2</v>
      </c>
      <c r="M85" s="146"/>
      <c r="N85" s="147"/>
    </row>
    <row r="86" spans="1:15" x14ac:dyDescent="0.25">
      <c r="A86" s="1">
        <v>12</v>
      </c>
      <c r="B86" s="145" t="s">
        <v>95</v>
      </c>
      <c r="C86" s="146">
        <v>0</v>
      </c>
      <c r="D86" s="147">
        <v>-1</v>
      </c>
      <c r="E86" s="146">
        <v>3617</v>
      </c>
      <c r="F86" s="147" t="str">
        <f t="shared" si="19"/>
        <v>-</v>
      </c>
      <c r="G86" s="146">
        <v>3421</v>
      </c>
      <c r="H86" s="147">
        <f t="shared" si="19"/>
        <v>-5.4188554050317972E-2</v>
      </c>
      <c r="I86" s="146">
        <v>4084</v>
      </c>
      <c r="J86" s="147">
        <f t="shared" si="19"/>
        <v>0.19380298158433207</v>
      </c>
      <c r="K86" s="146">
        <v>3796</v>
      </c>
      <c r="L86" s="147">
        <f t="shared" si="19"/>
        <v>-7.0519098922624868E-2</v>
      </c>
      <c r="M86" s="146"/>
      <c r="N86" s="147"/>
    </row>
    <row r="87" spans="1:15" ht="15.75" x14ac:dyDescent="0.25">
      <c r="B87" s="148" t="s">
        <v>32</v>
      </c>
      <c r="C87" s="149">
        <v>0</v>
      </c>
      <c r="D87" s="150">
        <v>-1</v>
      </c>
      <c r="E87" s="149">
        <v>29237</v>
      </c>
      <c r="F87" s="150" t="str">
        <f t="shared" si="19"/>
        <v>-</v>
      </c>
      <c r="G87" s="149">
        <v>47385</v>
      </c>
      <c r="H87" s="150">
        <f t="shared" si="19"/>
        <v>0.62072032014228551</v>
      </c>
      <c r="I87" s="149">
        <v>49008</v>
      </c>
      <c r="J87" s="150">
        <f t="shared" si="19"/>
        <v>3.4251345362456442E-2</v>
      </c>
      <c r="K87" s="149">
        <v>52595</v>
      </c>
      <c r="L87" s="150">
        <f t="shared" si="19"/>
        <v>7.3192131896833157E-2</v>
      </c>
      <c r="M87" s="149">
        <v>38329</v>
      </c>
      <c r="N87" s="150">
        <v>-4.3114639504693408E-2</v>
      </c>
    </row>
    <row r="88" spans="1:15" ht="6" customHeight="1" x14ac:dyDescent="0.25"/>
    <row r="89" spans="1:15" x14ac:dyDescent="0.25">
      <c r="B89" s="131" t="s">
        <v>57</v>
      </c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</row>
    <row r="92" spans="1:15" ht="48.75" customHeight="1" thickBot="1" x14ac:dyDescent="0.3">
      <c r="B92" s="12" t="s">
        <v>257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" t="s">
        <v>116</v>
      </c>
    </row>
    <row r="93" spans="1:15" ht="10.5" customHeight="1" thickBot="1" x14ac:dyDescent="0.3">
      <c r="B93" s="132"/>
      <c r="C93" s="133"/>
      <c r="D93" s="132"/>
      <c r="E93" s="132"/>
      <c r="F93" s="132"/>
      <c r="G93" s="132"/>
      <c r="H93" s="132"/>
      <c r="I93" s="132"/>
      <c r="J93" s="132"/>
      <c r="K93" s="132"/>
      <c r="L93" s="132"/>
      <c r="M93" s="4"/>
      <c r="N93" s="4"/>
      <c r="O93" s="1" t="s">
        <v>117</v>
      </c>
    </row>
    <row r="94" spans="1:15" ht="22.5" thickTop="1" thickBot="1" x14ac:dyDescent="0.3">
      <c r="B94" s="152" t="s">
        <v>98</v>
      </c>
      <c r="C94" s="135" t="s">
        <v>34</v>
      </c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</row>
    <row r="95" spans="1:15" ht="22.5" thickTop="1" thickBot="1" x14ac:dyDescent="0.3">
      <c r="B95" s="137"/>
      <c r="C95" s="138">
        <f>E95-1</f>
        <v>2020</v>
      </c>
      <c r="D95" s="139"/>
      <c r="E95" s="140">
        <f t="shared" ref="E95" si="21">G95-1</f>
        <v>2021</v>
      </c>
      <c r="F95" s="139"/>
      <c r="G95" s="140">
        <f t="shared" ref="G95" si="22">I95-1</f>
        <v>2022</v>
      </c>
      <c r="H95" s="139"/>
      <c r="I95" s="140">
        <f t="shared" ref="I95" si="23">K95-1</f>
        <v>2023</v>
      </c>
      <c r="J95" s="139"/>
      <c r="K95" s="140">
        <f>M95-1</f>
        <v>2024</v>
      </c>
      <c r="L95" s="139"/>
      <c r="M95" s="140">
        <v>2025</v>
      </c>
      <c r="N95" s="141"/>
    </row>
    <row r="96" spans="1:15" ht="16.5" thickTop="1" thickBot="1" x14ac:dyDescent="0.3">
      <c r="B96" s="109"/>
      <c r="C96" s="142" t="s">
        <v>71</v>
      </c>
      <c r="D96" s="143" t="str">
        <f>CONCATENATE("var ",RIGHT(C95,2),"/",RIGHT(C95-1,2))</f>
        <v>var 20/19</v>
      </c>
      <c r="E96" s="144" t="s">
        <v>71</v>
      </c>
      <c r="F96" s="143" t="str">
        <f>CONCATENATE("var ",RIGHT(E95,2),"/",RIGHT(E95-1,2))</f>
        <v>var 21/20</v>
      </c>
      <c r="G96" s="144" t="s">
        <v>71</v>
      </c>
      <c r="H96" s="143" t="str">
        <f>CONCATENATE("var ",RIGHT(G95,2),"/",RIGHT(G95-1,2))</f>
        <v>var 22/21</v>
      </c>
      <c r="I96" s="144" t="s">
        <v>71</v>
      </c>
      <c r="J96" s="143" t="str">
        <f>CONCATENATE("var ",RIGHT(I95,2),"/",RIGHT(I95-1,2))</f>
        <v>var 23/22</v>
      </c>
      <c r="K96" s="144" t="s">
        <v>71</v>
      </c>
      <c r="L96" s="143" t="str">
        <f>CONCATENATE("var ",RIGHT(K95,2),"/",RIGHT(K95-1,2))</f>
        <v>var 24/23</v>
      </c>
      <c r="M96" s="144" t="s">
        <v>71</v>
      </c>
      <c r="N96" s="143" t="str">
        <f>CONCATENATE("var ",RIGHT(M95,2),"/",RIGHT(M95-1,2))</f>
        <v>var 25/24</v>
      </c>
    </row>
    <row r="97" spans="2:14" x14ac:dyDescent="0.25">
      <c r="B97" s="145" t="s">
        <v>73</v>
      </c>
      <c r="C97" s="146">
        <v>5052</v>
      </c>
      <c r="D97" s="147">
        <v>-6.3750926612305414E-2</v>
      </c>
      <c r="E97" s="146">
        <v>372</v>
      </c>
      <c r="F97" s="147">
        <f t="shared" ref="F97:L109" si="24">IFERROR(E97/C97-1,"-")</f>
        <v>-0.92636579572446553</v>
      </c>
      <c r="G97" s="146">
        <v>3389</v>
      </c>
      <c r="H97" s="147">
        <f t="shared" si="24"/>
        <v>8.1102150537634401</v>
      </c>
      <c r="I97" s="146">
        <v>4088</v>
      </c>
      <c r="J97" s="147">
        <f t="shared" si="24"/>
        <v>0.20625553260548823</v>
      </c>
      <c r="K97" s="146">
        <v>4368</v>
      </c>
      <c r="L97" s="147">
        <f t="shared" si="24"/>
        <v>6.8493150684931559E-2</v>
      </c>
      <c r="M97" s="146">
        <v>4398</v>
      </c>
      <c r="N97" s="147">
        <f t="shared" ref="N97:N105" si="25">IFERROR(M97/K97-1,"-")</f>
        <v>6.8681318681318437E-3</v>
      </c>
    </row>
    <row r="98" spans="2:14" x14ac:dyDescent="0.25">
      <c r="B98" s="145" t="s">
        <v>75</v>
      </c>
      <c r="C98" s="146">
        <v>5265</v>
      </c>
      <c r="D98" s="147">
        <v>-7.7125328659070957E-2</v>
      </c>
      <c r="E98" s="146">
        <v>632</v>
      </c>
      <c r="F98" s="147">
        <f t="shared" si="24"/>
        <v>-0.87996201329534662</v>
      </c>
      <c r="G98" s="146">
        <v>3966</v>
      </c>
      <c r="H98" s="147">
        <f t="shared" si="24"/>
        <v>5.2753164556962027</v>
      </c>
      <c r="I98" s="146">
        <v>4110</v>
      </c>
      <c r="J98" s="147">
        <f t="shared" si="24"/>
        <v>3.6308623298033194E-2</v>
      </c>
      <c r="K98" s="146">
        <v>3773</v>
      </c>
      <c r="L98" s="147">
        <f t="shared" si="24"/>
        <v>-8.1995133819951382E-2</v>
      </c>
      <c r="M98" s="146">
        <v>4223</v>
      </c>
      <c r="N98" s="147">
        <f t="shared" si="25"/>
        <v>0.11926848661542544</v>
      </c>
    </row>
    <row r="99" spans="2:14" x14ac:dyDescent="0.25">
      <c r="B99" s="145" t="s">
        <v>77</v>
      </c>
      <c r="C99" s="146">
        <v>2695</v>
      </c>
      <c r="D99" s="147">
        <v>-0.58697318007662835</v>
      </c>
      <c r="E99" s="146">
        <v>975</v>
      </c>
      <c r="F99" s="147">
        <f t="shared" si="24"/>
        <v>-0.63821892393320967</v>
      </c>
      <c r="G99" s="146">
        <v>4470</v>
      </c>
      <c r="H99" s="147">
        <f t="shared" si="24"/>
        <v>3.5846153846153843</v>
      </c>
      <c r="I99" s="146">
        <v>4303</v>
      </c>
      <c r="J99" s="147">
        <f t="shared" si="24"/>
        <v>-3.7360178970917257E-2</v>
      </c>
      <c r="K99" s="146">
        <v>5198</v>
      </c>
      <c r="L99" s="147">
        <f t="shared" si="24"/>
        <v>0.20799442249593314</v>
      </c>
      <c r="M99" s="146">
        <v>4453</v>
      </c>
      <c r="N99" s="147">
        <f t="shared" si="25"/>
        <v>-0.14332435552135436</v>
      </c>
    </row>
    <row r="100" spans="2:14" x14ac:dyDescent="0.25">
      <c r="B100" s="145" t="s">
        <v>79</v>
      </c>
      <c r="C100" s="146">
        <v>0</v>
      </c>
      <c r="D100" s="147">
        <v>-1</v>
      </c>
      <c r="E100" s="146">
        <v>1312</v>
      </c>
      <c r="F100" s="147" t="str">
        <f t="shared" si="24"/>
        <v>-</v>
      </c>
      <c r="G100" s="146">
        <v>3971</v>
      </c>
      <c r="H100" s="147">
        <f t="shared" si="24"/>
        <v>2.0266768292682928</v>
      </c>
      <c r="I100" s="146">
        <v>4152</v>
      </c>
      <c r="J100" s="147">
        <f t="shared" si="24"/>
        <v>4.5580458322840522E-2</v>
      </c>
      <c r="K100" s="146">
        <v>3717</v>
      </c>
      <c r="L100" s="147">
        <f t="shared" si="24"/>
        <v>-0.10476878612716767</v>
      </c>
      <c r="M100" s="146">
        <v>4271</v>
      </c>
      <c r="N100" s="147">
        <f t="shared" si="25"/>
        <v>0.14904492870594566</v>
      </c>
    </row>
    <row r="101" spans="2:14" x14ac:dyDescent="0.25">
      <c r="B101" s="145" t="s">
        <v>81</v>
      </c>
      <c r="C101" s="146">
        <v>0</v>
      </c>
      <c r="D101" s="147">
        <v>-1</v>
      </c>
      <c r="E101" s="146">
        <v>1540</v>
      </c>
      <c r="F101" s="147" t="str">
        <f t="shared" si="24"/>
        <v>-</v>
      </c>
      <c r="G101" s="146">
        <v>2578</v>
      </c>
      <c r="H101" s="147">
        <f t="shared" si="24"/>
        <v>0.67402597402597397</v>
      </c>
      <c r="I101" s="146">
        <v>3221</v>
      </c>
      <c r="J101" s="147">
        <f t="shared" si="24"/>
        <v>0.24941815360744757</v>
      </c>
      <c r="K101" s="146">
        <v>3813</v>
      </c>
      <c r="L101" s="147">
        <f t="shared" si="24"/>
        <v>0.1837938528407328</v>
      </c>
      <c r="M101" s="146">
        <v>4093</v>
      </c>
      <c r="N101" s="147">
        <f t="shared" si="25"/>
        <v>7.3432992394440122E-2</v>
      </c>
    </row>
    <row r="102" spans="2:14" x14ac:dyDescent="0.25">
      <c r="B102" s="145" t="s">
        <v>83</v>
      </c>
      <c r="C102" s="146">
        <v>0</v>
      </c>
      <c r="D102" s="147">
        <v>-1</v>
      </c>
      <c r="E102" s="146">
        <v>1432</v>
      </c>
      <c r="F102" s="147" t="str">
        <f t="shared" si="24"/>
        <v>-</v>
      </c>
      <c r="G102" s="146">
        <v>3005</v>
      </c>
      <c r="H102" s="147">
        <f t="shared" si="24"/>
        <v>1.0984636871508382</v>
      </c>
      <c r="I102" s="146">
        <v>3282</v>
      </c>
      <c r="J102" s="147">
        <f t="shared" si="24"/>
        <v>9.2179700499168016E-2</v>
      </c>
      <c r="K102" s="146">
        <v>3568</v>
      </c>
      <c r="L102" s="147">
        <f t="shared" si="24"/>
        <v>8.7141986593540555E-2</v>
      </c>
      <c r="M102" s="146">
        <v>3959</v>
      </c>
      <c r="N102" s="147">
        <f t="shared" si="25"/>
        <v>0.109585201793722</v>
      </c>
    </row>
    <row r="103" spans="2:14" x14ac:dyDescent="0.25">
      <c r="B103" s="145" t="s">
        <v>85</v>
      </c>
      <c r="C103" s="146">
        <v>0</v>
      </c>
      <c r="D103" s="147">
        <v>-1</v>
      </c>
      <c r="E103" s="146">
        <v>1933</v>
      </c>
      <c r="F103" s="147" t="str">
        <f t="shared" si="24"/>
        <v>-</v>
      </c>
      <c r="G103" s="146">
        <v>4368</v>
      </c>
      <c r="H103" s="147">
        <f t="shared" si="24"/>
        <v>1.2596999482669426</v>
      </c>
      <c r="I103" s="146">
        <v>4031</v>
      </c>
      <c r="J103" s="147">
        <f t="shared" si="24"/>
        <v>-7.71520146520146E-2</v>
      </c>
      <c r="K103" s="146">
        <v>4365</v>
      </c>
      <c r="L103" s="147">
        <f t="shared" si="24"/>
        <v>8.2857851649714709E-2</v>
      </c>
      <c r="M103" s="146">
        <v>5264</v>
      </c>
      <c r="N103" s="147">
        <f t="shared" si="25"/>
        <v>0.20595647193585331</v>
      </c>
    </row>
    <row r="104" spans="2:14" x14ac:dyDescent="0.25">
      <c r="B104" s="145" t="s">
        <v>87</v>
      </c>
      <c r="C104" s="146">
        <v>1764</v>
      </c>
      <c r="D104" s="147">
        <v>-0.72642679900744422</v>
      </c>
      <c r="E104" s="146">
        <v>2399</v>
      </c>
      <c r="F104" s="147">
        <f t="shared" si="24"/>
        <v>0.35997732426303863</v>
      </c>
      <c r="G104" s="146">
        <v>4192</v>
      </c>
      <c r="H104" s="147">
        <f t="shared" si="24"/>
        <v>0.7473947478115881</v>
      </c>
      <c r="I104" s="146">
        <v>5104</v>
      </c>
      <c r="J104" s="147">
        <f t="shared" si="24"/>
        <v>0.21755725190839703</v>
      </c>
      <c r="K104" s="146">
        <v>4774</v>
      </c>
      <c r="L104" s="147">
        <f t="shared" si="24"/>
        <v>-6.4655172413793149E-2</v>
      </c>
      <c r="M104" s="146">
        <v>5900</v>
      </c>
      <c r="N104" s="147">
        <f t="shared" si="25"/>
        <v>0.23586091328026804</v>
      </c>
    </row>
    <row r="105" spans="2:14" x14ac:dyDescent="0.25">
      <c r="B105" s="145" t="s">
        <v>89</v>
      </c>
      <c r="C105" s="146">
        <v>1176</v>
      </c>
      <c r="D105" s="147">
        <v>-0.77226955848179712</v>
      </c>
      <c r="E105" s="146">
        <v>2176</v>
      </c>
      <c r="F105" s="147">
        <f t="shared" si="24"/>
        <v>0.85034013605442182</v>
      </c>
      <c r="G105" s="146">
        <v>3212</v>
      </c>
      <c r="H105" s="147">
        <f t="shared" si="24"/>
        <v>0.47610294117647056</v>
      </c>
      <c r="I105" s="146">
        <v>3971</v>
      </c>
      <c r="J105" s="147">
        <f t="shared" si="24"/>
        <v>0.23630136986301364</v>
      </c>
      <c r="K105" s="146">
        <v>3928</v>
      </c>
      <c r="L105" s="147">
        <f t="shared" si="24"/>
        <v>-1.0828506673381977E-2</v>
      </c>
      <c r="M105" s="146">
        <v>4128</v>
      </c>
      <c r="N105" s="147">
        <f t="shared" si="25"/>
        <v>5.0916496945010215E-2</v>
      </c>
    </row>
    <row r="106" spans="2:14" x14ac:dyDescent="0.25">
      <c r="B106" s="145" t="s">
        <v>91</v>
      </c>
      <c r="C106" s="146">
        <v>828</v>
      </c>
      <c r="D106" s="147">
        <v>-0.84920779457293749</v>
      </c>
      <c r="E106" s="146">
        <v>3516</v>
      </c>
      <c r="F106" s="147">
        <f t="shared" si="24"/>
        <v>3.2463768115942031</v>
      </c>
      <c r="G106" s="146">
        <v>3609</v>
      </c>
      <c r="H106" s="147">
        <f t="shared" si="24"/>
        <v>2.6450511945392385E-2</v>
      </c>
      <c r="I106" s="146">
        <v>4485</v>
      </c>
      <c r="J106" s="147">
        <f t="shared" si="24"/>
        <v>0.24272651704073156</v>
      </c>
      <c r="K106" s="146">
        <v>4771</v>
      </c>
      <c r="L106" s="147">
        <f t="shared" si="24"/>
        <v>6.3768115942028913E-2</v>
      </c>
      <c r="M106" s="146"/>
      <c r="N106" s="147"/>
    </row>
    <row r="107" spans="2:14" x14ac:dyDescent="0.25">
      <c r="B107" s="145" t="s">
        <v>93</v>
      </c>
      <c r="C107" s="146">
        <v>526</v>
      </c>
      <c r="D107" s="147">
        <v>-0.90757336144790024</v>
      </c>
      <c r="E107" s="146">
        <v>3380</v>
      </c>
      <c r="F107" s="147">
        <f t="shared" si="24"/>
        <v>5.4258555133079849</v>
      </c>
      <c r="G107" s="146">
        <v>4521</v>
      </c>
      <c r="H107" s="147">
        <f t="shared" si="24"/>
        <v>0.33757396449704147</v>
      </c>
      <c r="I107" s="146">
        <v>4188</v>
      </c>
      <c r="J107" s="147">
        <f t="shared" si="24"/>
        <v>-7.3656270736562668E-2</v>
      </c>
      <c r="K107" s="146">
        <v>4798</v>
      </c>
      <c r="L107" s="147">
        <f t="shared" si="24"/>
        <v>0.14565425023877743</v>
      </c>
      <c r="M107" s="146"/>
      <c r="N107" s="147"/>
    </row>
    <row r="108" spans="2:14" x14ac:dyDescent="0.25">
      <c r="B108" s="145" t="s">
        <v>95</v>
      </c>
      <c r="C108" s="146">
        <v>845</v>
      </c>
      <c r="D108" s="147">
        <v>-0.86088244978597306</v>
      </c>
      <c r="E108" s="146">
        <v>4089</v>
      </c>
      <c r="F108" s="147">
        <f t="shared" si="24"/>
        <v>3.8390532544378697</v>
      </c>
      <c r="G108" s="146">
        <v>4538</v>
      </c>
      <c r="H108" s="147">
        <f t="shared" si="24"/>
        <v>0.10980679872829535</v>
      </c>
      <c r="I108" s="146">
        <v>4613</v>
      </c>
      <c r="J108" s="147">
        <f t="shared" si="24"/>
        <v>1.6527104451300234E-2</v>
      </c>
      <c r="K108" s="146">
        <v>4807</v>
      </c>
      <c r="L108" s="147">
        <f t="shared" si="24"/>
        <v>4.2055061781920644E-2</v>
      </c>
      <c r="M108" s="146"/>
      <c r="N108" s="147"/>
    </row>
    <row r="109" spans="2:14" ht="15.75" x14ac:dyDescent="0.25">
      <c r="B109" s="148" t="s">
        <v>32</v>
      </c>
      <c r="C109" s="149">
        <v>19586</v>
      </c>
      <c r="D109" s="150">
        <v>-0.72268395939230046</v>
      </c>
      <c r="E109" s="149">
        <v>23756</v>
      </c>
      <c r="F109" s="150">
        <f t="shared" si="24"/>
        <v>0.21290717859695696</v>
      </c>
      <c r="G109" s="149">
        <v>45819</v>
      </c>
      <c r="H109" s="150">
        <f t="shared" si="24"/>
        <v>0.92873379356794072</v>
      </c>
      <c r="I109" s="149">
        <v>49548</v>
      </c>
      <c r="J109" s="150">
        <f t="shared" si="24"/>
        <v>8.1385451450271651E-2</v>
      </c>
      <c r="K109" s="149">
        <v>51880</v>
      </c>
      <c r="L109" s="150">
        <f t="shared" si="24"/>
        <v>4.7065471865665565E-2</v>
      </c>
      <c r="M109" s="149">
        <v>40689</v>
      </c>
      <c r="N109" s="150">
        <v>8.4924274744027306E-2</v>
      </c>
    </row>
    <row r="110" spans="2:14" ht="6" customHeight="1" x14ac:dyDescent="0.25"/>
    <row r="111" spans="2:14" x14ac:dyDescent="0.25">
      <c r="B111" s="131" t="s">
        <v>57</v>
      </c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</row>
    <row r="114" spans="11:11" x14ac:dyDescent="0.25">
      <c r="K114" s="151"/>
    </row>
  </sheetData>
  <mergeCells count="40">
    <mergeCell ref="B92:N92"/>
    <mergeCell ref="C94:N94"/>
    <mergeCell ref="C95:D95"/>
    <mergeCell ref="E95:F95"/>
    <mergeCell ref="G95:H95"/>
    <mergeCell ref="I95:J95"/>
    <mergeCell ref="K95:L95"/>
    <mergeCell ref="M95:N95"/>
    <mergeCell ref="B70:N70"/>
    <mergeCell ref="C72:N72"/>
    <mergeCell ref="C73:D73"/>
    <mergeCell ref="E73:F73"/>
    <mergeCell ref="G73:H73"/>
    <mergeCell ref="I73:J73"/>
    <mergeCell ref="K73:L73"/>
    <mergeCell ref="M73:N73"/>
    <mergeCell ref="B48:N48"/>
    <mergeCell ref="C50:N50"/>
    <mergeCell ref="C51:D51"/>
    <mergeCell ref="E51:F51"/>
    <mergeCell ref="G51:H51"/>
    <mergeCell ref="I51:J51"/>
    <mergeCell ref="K51:L51"/>
    <mergeCell ref="M51:N51"/>
    <mergeCell ref="B26:N26"/>
    <mergeCell ref="C28:N28"/>
    <mergeCell ref="C29:D29"/>
    <mergeCell ref="E29:F29"/>
    <mergeCell ref="G29:H29"/>
    <mergeCell ref="I29:J29"/>
    <mergeCell ref="K29:L29"/>
    <mergeCell ref="M29:N29"/>
    <mergeCell ref="B4:N4"/>
    <mergeCell ref="C6:N6"/>
    <mergeCell ref="C7:D7"/>
    <mergeCell ref="E7:F7"/>
    <mergeCell ref="G7:H7"/>
    <mergeCell ref="I7:J7"/>
    <mergeCell ref="K7:L7"/>
    <mergeCell ref="M7:N7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0A778-17CB-4B63-BA1E-B7B9A88BFAC3}">
  <sheetPr>
    <tabColor theme="7" tint="0.79998168889431442"/>
  </sheetPr>
  <dimension ref="A4:E116"/>
  <sheetViews>
    <sheetView showGridLines="0" zoomScaleNormal="100" workbookViewId="0">
      <selection activeCell="G10" sqref="G10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12" t="s">
        <v>258</v>
      </c>
      <c r="C4" s="12"/>
      <c r="D4" s="12"/>
      <c r="E4" s="1" t="s">
        <v>68</v>
      </c>
    </row>
    <row r="5" spans="1:5" ht="10.5" customHeight="1" thickBot="1" x14ac:dyDescent="0.3">
      <c r="B5" s="132"/>
      <c r="C5" s="133"/>
      <c r="D5" s="132"/>
      <c r="E5" s="1" t="s">
        <v>69</v>
      </c>
    </row>
    <row r="6" spans="1:5" ht="22.5" thickTop="1" thickBot="1" x14ac:dyDescent="0.3">
      <c r="B6" s="134" t="s">
        <v>32</v>
      </c>
      <c r="C6" s="135" t="s">
        <v>134</v>
      </c>
      <c r="D6" s="136"/>
    </row>
    <row r="7" spans="1:5" ht="16.5" thickTop="1" thickBot="1" x14ac:dyDescent="0.3">
      <c r="B7" s="109"/>
      <c r="C7" s="142" t="s">
        <v>140</v>
      </c>
      <c r="D7" s="143" t="s">
        <v>141</v>
      </c>
    </row>
    <row r="8" spans="1:5" x14ac:dyDescent="0.25">
      <c r="A8" s="1" t="s">
        <v>72</v>
      </c>
      <c r="B8" s="145">
        <v>2024</v>
      </c>
      <c r="C8" s="146">
        <v>287810</v>
      </c>
      <c r="D8" s="147">
        <f t="shared" ref="D8:D10" si="0">C8/C9-1</f>
        <v>3.3080396562739978E-2</v>
      </c>
    </row>
    <row r="9" spans="1:5" x14ac:dyDescent="0.25">
      <c r="A9" s="1"/>
      <c r="B9" s="145">
        <v>2023</v>
      </c>
      <c r="C9" s="146">
        <v>278594</v>
      </c>
      <c r="D9" s="147">
        <f t="shared" si="0"/>
        <v>8.3530066078866927E-2</v>
      </c>
    </row>
    <row r="10" spans="1:5" x14ac:dyDescent="0.25">
      <c r="A10" s="1"/>
      <c r="B10" s="145">
        <v>2022</v>
      </c>
      <c r="C10" s="146">
        <v>257117</v>
      </c>
      <c r="D10" s="147">
        <f t="shared" si="0"/>
        <v>0.83202228777450027</v>
      </c>
    </row>
    <row r="11" spans="1:5" x14ac:dyDescent="0.25">
      <c r="A11" s="1"/>
      <c r="B11" s="145">
        <v>2021</v>
      </c>
      <c r="C11" s="146">
        <v>140346</v>
      </c>
      <c r="D11" s="147">
        <f>C11/C12-1</f>
        <v>0.45163992925186958</v>
      </c>
    </row>
    <row r="12" spans="1:5" x14ac:dyDescent="0.25">
      <c r="A12" s="1" t="s">
        <v>74</v>
      </c>
      <c r="B12" s="145">
        <v>2020</v>
      </c>
      <c r="C12" s="146">
        <v>96681</v>
      </c>
      <c r="D12" s="147">
        <f t="shared" ref="D12:D21" si="1">C12/C13-1</f>
        <v>-0.61362219451371569</v>
      </c>
    </row>
    <row r="13" spans="1:5" x14ac:dyDescent="0.25">
      <c r="A13" s="1" t="s">
        <v>76</v>
      </c>
      <c r="B13" s="145">
        <v>2019</v>
      </c>
      <c r="C13" s="146">
        <v>250224</v>
      </c>
      <c r="D13" s="147">
        <f t="shared" si="1"/>
        <v>-8.1504103836609998E-2</v>
      </c>
    </row>
    <row r="14" spans="1:5" x14ac:dyDescent="0.25">
      <c r="A14" s="1" t="s">
        <v>78</v>
      </c>
      <c r="B14" s="145">
        <v>2018</v>
      </c>
      <c r="C14" s="146">
        <v>272428</v>
      </c>
      <c r="D14" s="147">
        <f t="shared" si="1"/>
        <v>2.9455887965597727E-2</v>
      </c>
    </row>
    <row r="15" spans="1:5" x14ac:dyDescent="0.25">
      <c r="A15" s="1" t="s">
        <v>80</v>
      </c>
      <c r="B15" s="145">
        <v>2017</v>
      </c>
      <c r="C15" s="146">
        <v>264633</v>
      </c>
      <c r="D15" s="147">
        <f>C15/C16-1</f>
        <v>4.9452140083993346E-2</v>
      </c>
    </row>
    <row r="16" spans="1:5" x14ac:dyDescent="0.25">
      <c r="A16" s="1" t="s">
        <v>82</v>
      </c>
      <c r="B16" s="145">
        <v>2016</v>
      </c>
      <c r="C16" s="146">
        <v>252163</v>
      </c>
      <c r="D16" s="147">
        <f>C16/C17-1</f>
        <v>7.3198447421732649E-2</v>
      </c>
    </row>
    <row r="17" spans="1:5" x14ac:dyDescent="0.25">
      <c r="A17" s="1" t="s">
        <v>84</v>
      </c>
      <c r="B17" s="145">
        <v>2015</v>
      </c>
      <c r="C17" s="146">
        <v>234964</v>
      </c>
      <c r="D17" s="147">
        <f t="shared" si="1"/>
        <v>3.4199846826940883E-2</v>
      </c>
    </row>
    <row r="18" spans="1:5" x14ac:dyDescent="0.25">
      <c r="A18" s="1" t="s">
        <v>86</v>
      </c>
      <c r="B18" s="145">
        <v>2014</v>
      </c>
      <c r="C18" s="146">
        <v>227194</v>
      </c>
      <c r="D18" s="147">
        <f t="shared" si="1"/>
        <v>1.3806336456938961E-2</v>
      </c>
    </row>
    <row r="19" spans="1:5" x14ac:dyDescent="0.25">
      <c r="A19" s="1" t="s">
        <v>88</v>
      </c>
      <c r="B19" s="145">
        <v>2013</v>
      </c>
      <c r="C19" s="146">
        <v>224100</v>
      </c>
      <c r="D19" s="147">
        <f t="shared" si="1"/>
        <v>-3.5627143588706334E-2</v>
      </c>
    </row>
    <row r="20" spans="1:5" x14ac:dyDescent="0.25">
      <c r="A20" s="1" t="s">
        <v>90</v>
      </c>
      <c r="B20" s="145">
        <v>2012</v>
      </c>
      <c r="C20" s="146">
        <v>232379</v>
      </c>
      <c r="D20" s="147">
        <f>C20/C21-1</f>
        <v>-1.2686678138210894E-2</v>
      </c>
    </row>
    <row r="21" spans="1:5" x14ac:dyDescent="0.25">
      <c r="A21" s="1" t="s">
        <v>92</v>
      </c>
      <c r="B21" s="145">
        <v>2011</v>
      </c>
      <c r="C21" s="146">
        <v>235365</v>
      </c>
      <c r="D21" s="147">
        <f t="shared" si="1"/>
        <v>0.22836729155358859</v>
      </c>
    </row>
    <row r="22" spans="1:5" x14ac:dyDescent="0.25">
      <c r="A22" s="1" t="s">
        <v>94</v>
      </c>
      <c r="B22" s="145">
        <v>2010</v>
      </c>
      <c r="C22" s="146">
        <v>191608</v>
      </c>
      <c r="D22" s="147"/>
    </row>
    <row r="23" spans="1:5" ht="6" customHeight="1" x14ac:dyDescent="0.25"/>
    <row r="24" spans="1:5" x14ac:dyDescent="0.25">
      <c r="B24" s="131" t="s">
        <v>57</v>
      </c>
      <c r="C24" s="131"/>
      <c r="D24" s="131"/>
    </row>
    <row r="27" spans="1:5" ht="48.75" customHeight="1" thickBot="1" x14ac:dyDescent="0.3">
      <c r="B27" s="12" t="s">
        <v>259</v>
      </c>
      <c r="C27" s="12"/>
      <c r="D27" s="12"/>
      <c r="E27" s="1" t="s">
        <v>96</v>
      </c>
    </row>
    <row r="28" spans="1:5" ht="10.5" customHeight="1" thickBot="1" x14ac:dyDescent="0.3">
      <c r="B28" s="132"/>
      <c r="C28" s="133"/>
      <c r="D28" s="132"/>
      <c r="E28" s="1" t="s">
        <v>97</v>
      </c>
    </row>
    <row r="29" spans="1:5" ht="22.5" thickTop="1" thickBot="1" x14ac:dyDescent="0.3">
      <c r="B29" s="152" t="s">
        <v>98</v>
      </c>
      <c r="C29" s="135" t="s">
        <v>139</v>
      </c>
      <c r="D29" s="136"/>
    </row>
    <row r="30" spans="1:5" ht="16.5" thickTop="1" thickBot="1" x14ac:dyDescent="0.3">
      <c r="B30" s="109"/>
      <c r="C30" s="142" t="s">
        <v>140</v>
      </c>
      <c r="D30" s="143" t="s">
        <v>141</v>
      </c>
    </row>
    <row r="31" spans="1:5" x14ac:dyDescent="0.25">
      <c r="B31" s="145">
        <v>2024</v>
      </c>
      <c r="C31" s="146">
        <v>235930</v>
      </c>
      <c r="D31" s="147">
        <f t="shared" ref="D31:D44" si="2">C31/C32-1</f>
        <v>3.0055098102564459E-2</v>
      </c>
    </row>
    <row r="32" spans="1:5" x14ac:dyDescent="0.25">
      <c r="B32" s="145">
        <v>2023</v>
      </c>
      <c r="C32" s="146">
        <v>229046</v>
      </c>
      <c r="D32" s="147">
        <f t="shared" si="2"/>
        <v>8.3995115902658846E-2</v>
      </c>
    </row>
    <row r="33" spans="2:4" x14ac:dyDescent="0.25">
      <c r="B33" s="145">
        <v>2022</v>
      </c>
      <c r="C33" s="146">
        <v>211298</v>
      </c>
      <c r="D33" s="147">
        <f t="shared" si="2"/>
        <v>0.81231666523715584</v>
      </c>
    </row>
    <row r="34" spans="2:4" x14ac:dyDescent="0.25">
      <c r="B34" s="145">
        <v>2021</v>
      </c>
      <c r="C34" s="146">
        <v>116590</v>
      </c>
      <c r="D34" s="147">
        <f t="shared" si="2"/>
        <v>0.51229003177897403</v>
      </c>
    </row>
    <row r="35" spans="2:4" x14ac:dyDescent="0.25">
      <c r="B35" s="145">
        <v>2020</v>
      </c>
      <c r="C35" s="146">
        <v>77095</v>
      </c>
      <c r="D35" s="147">
        <f t="shared" si="2"/>
        <v>-0.57073336414305365</v>
      </c>
    </row>
    <row r="36" spans="2:4" x14ac:dyDescent="0.25">
      <c r="B36" s="145">
        <v>2019</v>
      </c>
      <c r="C36" s="146">
        <v>179597</v>
      </c>
      <c r="D36" s="147">
        <f t="shared" si="2"/>
        <v>2.7295867295867193E-2</v>
      </c>
    </row>
    <row r="37" spans="2:4" x14ac:dyDescent="0.25">
      <c r="B37" s="145">
        <v>2018</v>
      </c>
      <c r="C37" s="146">
        <v>174825</v>
      </c>
      <c r="D37" s="147">
        <f t="shared" si="2"/>
        <v>2.4933752315737578E-2</v>
      </c>
    </row>
    <row r="38" spans="2:4" x14ac:dyDescent="0.25">
      <c r="B38" s="145">
        <v>2017</v>
      </c>
      <c r="C38" s="146">
        <v>170572</v>
      </c>
      <c r="D38" s="147">
        <f>C38/C39-1</f>
        <v>8.4186629460589746E-3</v>
      </c>
    </row>
    <row r="39" spans="2:4" x14ac:dyDescent="0.25">
      <c r="B39" s="145">
        <v>2016</v>
      </c>
      <c r="C39" s="146">
        <v>169148</v>
      </c>
      <c r="D39" s="147">
        <f>C39/C40-1</f>
        <v>4.1078976112456367E-3</v>
      </c>
    </row>
    <row r="40" spans="2:4" x14ac:dyDescent="0.25">
      <c r="B40" s="145">
        <v>2015</v>
      </c>
      <c r="C40" s="146">
        <v>168456</v>
      </c>
      <c r="D40" s="147">
        <f t="shared" si="2"/>
        <v>9.6496170120949909E-3</v>
      </c>
    </row>
    <row r="41" spans="2:4" x14ac:dyDescent="0.25">
      <c r="B41" s="145">
        <v>2014</v>
      </c>
      <c r="C41" s="146">
        <v>166846</v>
      </c>
      <c r="D41" s="147">
        <f t="shared" si="2"/>
        <v>2.8611941678739816E-2</v>
      </c>
    </row>
    <row r="42" spans="2:4" x14ac:dyDescent="0.25">
      <c r="B42" s="145">
        <v>2013</v>
      </c>
      <c r="C42" s="146">
        <v>162205</v>
      </c>
      <c r="D42" s="147">
        <f t="shared" si="2"/>
        <v>1.1356552545658261E-3</v>
      </c>
    </row>
    <row r="43" spans="2:4" x14ac:dyDescent="0.25">
      <c r="B43" s="145">
        <v>2012</v>
      </c>
      <c r="C43" s="146">
        <v>162021</v>
      </c>
      <c r="D43" s="147">
        <f>C43/C44-1</f>
        <v>5.1292532897298182E-2</v>
      </c>
    </row>
    <row r="44" spans="2:4" x14ac:dyDescent="0.25">
      <c r="B44" s="145">
        <v>2011</v>
      </c>
      <c r="C44" s="146">
        <v>154116</v>
      </c>
      <c r="D44" s="147">
        <f t="shared" si="2"/>
        <v>0.176655621554765</v>
      </c>
    </row>
    <row r="45" spans="2:4" x14ac:dyDescent="0.25">
      <c r="B45" s="145">
        <v>2010</v>
      </c>
      <c r="C45" s="146">
        <v>130978</v>
      </c>
      <c r="D45" s="147"/>
    </row>
    <row r="46" spans="2:4" ht="6" customHeight="1" x14ac:dyDescent="0.25"/>
    <row r="47" spans="2:4" x14ac:dyDescent="0.25">
      <c r="B47" s="131" t="s">
        <v>57</v>
      </c>
      <c r="C47" s="131"/>
      <c r="D47" s="131"/>
    </row>
    <row r="50" spans="1:5" ht="48.75" customHeight="1" thickBot="1" x14ac:dyDescent="0.3">
      <c r="B50" s="12" t="s">
        <v>260</v>
      </c>
      <c r="C50" s="12"/>
      <c r="D50" s="12"/>
      <c r="E50" s="1" t="s">
        <v>100</v>
      </c>
    </row>
    <row r="51" spans="1:5" ht="10.5" customHeight="1" thickBot="1" x14ac:dyDescent="0.3">
      <c r="B51" s="132"/>
      <c r="C51" s="133"/>
      <c r="D51" s="132"/>
      <c r="E51" s="1" t="s">
        <v>101</v>
      </c>
    </row>
    <row r="52" spans="1:5" ht="22.5" thickTop="1" thickBot="1" x14ac:dyDescent="0.3">
      <c r="B52" s="137"/>
      <c r="C52" s="135" t="s">
        <v>142</v>
      </c>
      <c r="D52" s="136"/>
    </row>
    <row r="53" spans="1:5" ht="16.5" thickTop="1" thickBot="1" x14ac:dyDescent="0.3">
      <c r="B53" s="109"/>
      <c r="C53" s="142" t="s">
        <v>140</v>
      </c>
      <c r="D53" s="143" t="s">
        <v>141</v>
      </c>
    </row>
    <row r="54" spans="1:5" x14ac:dyDescent="0.25">
      <c r="A54" s="1">
        <v>1</v>
      </c>
      <c r="B54" s="145">
        <v>2024</v>
      </c>
      <c r="C54" s="146">
        <v>183335</v>
      </c>
      <c r="D54" s="147">
        <f t="shared" ref="D54:D56" si="3">C54/C55-1</f>
        <v>1.8312800630977843E-2</v>
      </c>
    </row>
    <row r="55" spans="1:5" x14ac:dyDescent="0.25">
      <c r="A55" s="1"/>
      <c r="B55" s="145">
        <v>2023</v>
      </c>
      <c r="C55" s="146">
        <v>180038</v>
      </c>
      <c r="D55" s="147">
        <f t="shared" si="3"/>
        <v>9.8375357659246099E-2</v>
      </c>
    </row>
    <row r="56" spans="1:5" x14ac:dyDescent="0.25">
      <c r="A56" s="1"/>
      <c r="B56" s="145">
        <v>2022</v>
      </c>
      <c r="C56" s="146">
        <v>163913</v>
      </c>
      <c r="D56" s="147">
        <f t="shared" si="3"/>
        <v>0.8764438542465629</v>
      </c>
    </row>
    <row r="57" spans="1:5" x14ac:dyDescent="0.25">
      <c r="A57" s="1"/>
      <c r="B57" s="145">
        <v>2021</v>
      </c>
      <c r="C57" s="146">
        <v>87353</v>
      </c>
      <c r="D57" s="147" t="e">
        <f>C57/C58-1</f>
        <v>#DIV/0!</v>
      </c>
    </row>
    <row r="58" spans="1:5" x14ac:dyDescent="0.25">
      <c r="A58" s="1">
        <v>2</v>
      </c>
      <c r="B58" s="145">
        <v>2020</v>
      </c>
      <c r="C58" s="146">
        <v>0</v>
      </c>
      <c r="D58" s="147">
        <f t="shared" ref="D58:D67" si="4">C58/C59-1</f>
        <v>-1</v>
      </c>
    </row>
    <row r="59" spans="1:5" x14ac:dyDescent="0.25">
      <c r="A59" s="1">
        <v>3</v>
      </c>
      <c r="B59" s="145">
        <v>2019</v>
      </c>
      <c r="C59" s="146">
        <v>149743</v>
      </c>
      <c r="D59" s="147" t="e">
        <f t="shared" si="4"/>
        <v>#DIV/0!</v>
      </c>
    </row>
    <row r="60" spans="1:5" x14ac:dyDescent="0.25">
      <c r="A60" s="1">
        <v>4</v>
      </c>
      <c r="B60" s="145">
        <v>2018</v>
      </c>
      <c r="C60" s="146">
        <v>0</v>
      </c>
      <c r="D60" s="147" t="e">
        <f t="shared" si="4"/>
        <v>#DIV/0!</v>
      </c>
    </row>
    <row r="61" spans="1:5" x14ac:dyDescent="0.25">
      <c r="A61" s="1">
        <v>5</v>
      </c>
      <c r="B61" s="145">
        <v>2017</v>
      </c>
      <c r="C61" s="146">
        <v>0</v>
      </c>
      <c r="D61" s="147" t="e">
        <f>C61/C62-1</f>
        <v>#DIV/0!</v>
      </c>
    </row>
    <row r="62" spans="1:5" x14ac:dyDescent="0.25">
      <c r="A62" s="1">
        <v>6</v>
      </c>
      <c r="B62" s="145">
        <v>2016</v>
      </c>
      <c r="C62" s="146">
        <v>0</v>
      </c>
      <c r="D62" s="147" t="e">
        <f>C62/C63-1</f>
        <v>#DIV/0!</v>
      </c>
    </row>
    <row r="63" spans="1:5" x14ac:dyDescent="0.25">
      <c r="A63" s="1">
        <v>7</v>
      </c>
      <c r="B63" s="145">
        <v>2015</v>
      </c>
      <c r="C63" s="146">
        <v>0</v>
      </c>
      <c r="D63" s="147" t="e">
        <f t="shared" si="4"/>
        <v>#DIV/0!</v>
      </c>
    </row>
    <row r="64" spans="1:5" x14ac:dyDescent="0.25">
      <c r="A64" s="1">
        <v>8</v>
      </c>
      <c r="B64" s="145">
        <v>2014</v>
      </c>
      <c r="C64" s="146">
        <v>0</v>
      </c>
      <c r="D64" s="147" t="e">
        <f t="shared" si="4"/>
        <v>#DIV/0!</v>
      </c>
    </row>
    <row r="65" spans="1:5" x14ac:dyDescent="0.25">
      <c r="A65" s="1">
        <v>9</v>
      </c>
      <c r="B65" s="145">
        <v>2013</v>
      </c>
      <c r="C65" s="146">
        <v>0</v>
      </c>
      <c r="D65" s="147" t="e">
        <f t="shared" si="4"/>
        <v>#DIV/0!</v>
      </c>
    </row>
    <row r="66" spans="1:5" x14ac:dyDescent="0.25">
      <c r="A66" s="1">
        <v>10</v>
      </c>
      <c r="B66" s="145">
        <v>2012</v>
      </c>
      <c r="C66" s="146">
        <v>0</v>
      </c>
      <c r="D66" s="147" t="e">
        <f>C66/C67-1</f>
        <v>#DIV/0!</v>
      </c>
    </row>
    <row r="67" spans="1:5" x14ac:dyDescent="0.25">
      <c r="A67" s="1">
        <v>11</v>
      </c>
      <c r="B67" s="145">
        <v>2011</v>
      </c>
      <c r="C67" s="146">
        <v>0</v>
      </c>
      <c r="D67" s="147" t="e">
        <f t="shared" si="4"/>
        <v>#DIV/0!</v>
      </c>
    </row>
    <row r="68" spans="1:5" x14ac:dyDescent="0.25">
      <c r="A68" s="1">
        <v>12</v>
      </c>
      <c r="B68" s="145">
        <v>2010</v>
      </c>
      <c r="C68" s="146">
        <v>0</v>
      </c>
      <c r="D68" s="147"/>
    </row>
    <row r="69" spans="1:5" ht="6" customHeight="1" x14ac:dyDescent="0.25"/>
    <row r="70" spans="1:5" x14ac:dyDescent="0.25">
      <c r="B70" s="131" t="s">
        <v>57</v>
      </c>
      <c r="C70" s="131"/>
      <c r="D70" s="131"/>
    </row>
    <row r="73" spans="1:5" ht="48.75" customHeight="1" thickBot="1" x14ac:dyDescent="0.3">
      <c r="B73" s="12" t="s">
        <v>143</v>
      </c>
      <c r="C73" s="12"/>
      <c r="D73" s="12"/>
      <c r="E73" s="1" t="s">
        <v>103</v>
      </c>
    </row>
    <row r="74" spans="1:5" ht="10.5" customHeight="1" thickBot="1" x14ac:dyDescent="0.3">
      <c r="B74" s="132"/>
      <c r="C74" s="133"/>
      <c r="D74" s="132"/>
      <c r="E74" s="1" t="s">
        <v>104</v>
      </c>
    </row>
    <row r="75" spans="1:5" ht="22.5" thickTop="1" thickBot="1" x14ac:dyDescent="0.3">
      <c r="B75" s="137"/>
      <c r="C75" s="135" t="s">
        <v>144</v>
      </c>
      <c r="D75" s="136"/>
    </row>
    <row r="76" spans="1:5" ht="16.5" thickTop="1" thickBot="1" x14ac:dyDescent="0.3">
      <c r="B76" s="109"/>
      <c r="C76" s="142" t="s">
        <v>140</v>
      </c>
      <c r="D76" s="143" t="s">
        <v>141</v>
      </c>
    </row>
    <row r="77" spans="1:5" x14ac:dyDescent="0.25">
      <c r="A77" s="1">
        <v>1</v>
      </c>
      <c r="B77" s="145">
        <v>2024</v>
      </c>
      <c r="C77" s="146">
        <v>52595</v>
      </c>
      <c r="D77" s="147">
        <f t="shared" ref="D77:D83" si="5">C77/C78-1</f>
        <v>7.3192131896833157E-2</v>
      </c>
    </row>
    <row r="78" spans="1:5" x14ac:dyDescent="0.25">
      <c r="A78" s="1"/>
      <c r="B78" s="145">
        <v>2023</v>
      </c>
      <c r="C78" s="146">
        <v>49008</v>
      </c>
      <c r="D78" s="147">
        <f t="shared" si="5"/>
        <v>3.4251345362456442E-2</v>
      </c>
    </row>
    <row r="79" spans="1:5" x14ac:dyDescent="0.25">
      <c r="A79" s="1"/>
      <c r="B79" s="145">
        <v>2022</v>
      </c>
      <c r="C79" s="146">
        <v>47385</v>
      </c>
      <c r="D79" s="147">
        <f t="shared" si="5"/>
        <v>0.62072032014228551</v>
      </c>
    </row>
    <row r="80" spans="1:5" x14ac:dyDescent="0.25">
      <c r="A80" s="1"/>
      <c r="B80" s="145">
        <v>2021</v>
      </c>
      <c r="C80" s="146">
        <v>29237</v>
      </c>
      <c r="D80" s="147" t="e">
        <f t="shared" si="5"/>
        <v>#DIV/0!</v>
      </c>
    </row>
    <row r="81" spans="1:5" x14ac:dyDescent="0.25">
      <c r="A81" s="1">
        <v>2</v>
      </c>
      <c r="B81" s="145">
        <v>2020</v>
      </c>
      <c r="C81" s="146">
        <v>0</v>
      </c>
      <c r="D81" s="147">
        <f t="shared" si="5"/>
        <v>-1</v>
      </c>
    </row>
    <row r="82" spans="1:5" x14ac:dyDescent="0.25">
      <c r="A82" s="1">
        <v>3</v>
      </c>
      <c r="B82" s="145">
        <v>2019</v>
      </c>
      <c r="C82" s="146">
        <v>29854</v>
      </c>
      <c r="D82" s="147" t="e">
        <f t="shared" si="5"/>
        <v>#DIV/0!</v>
      </c>
    </row>
    <row r="83" spans="1:5" x14ac:dyDescent="0.25">
      <c r="A83" s="1">
        <v>4</v>
      </c>
      <c r="B83" s="145">
        <v>2018</v>
      </c>
      <c r="C83" s="146">
        <v>0</v>
      </c>
      <c r="D83" s="147" t="e">
        <f t="shared" si="5"/>
        <v>#DIV/0!</v>
      </c>
    </row>
    <row r="84" spans="1:5" x14ac:dyDescent="0.25">
      <c r="A84" s="1">
        <v>5</v>
      </c>
      <c r="B84" s="145">
        <v>2017</v>
      </c>
      <c r="C84" s="146">
        <v>0</v>
      </c>
      <c r="D84" s="147" t="e">
        <f>C84/C85-1</f>
        <v>#DIV/0!</v>
      </c>
    </row>
    <row r="85" spans="1:5" x14ac:dyDescent="0.25">
      <c r="A85" s="1">
        <v>6</v>
      </c>
      <c r="B85" s="145">
        <v>2016</v>
      </c>
      <c r="C85" s="146">
        <v>0</v>
      </c>
      <c r="D85" s="147" t="e">
        <f>C85/C86-1</f>
        <v>#DIV/0!</v>
      </c>
    </row>
    <row r="86" spans="1:5" x14ac:dyDescent="0.25">
      <c r="A86" s="1">
        <v>7</v>
      </c>
      <c r="B86" s="145">
        <v>2015</v>
      </c>
      <c r="C86" s="146">
        <v>0</v>
      </c>
      <c r="D86" s="147" t="e">
        <f t="shared" ref="D86:D88" si="6">C86/C87-1</f>
        <v>#DIV/0!</v>
      </c>
    </row>
    <row r="87" spans="1:5" x14ac:dyDescent="0.25">
      <c r="A87" s="1">
        <v>8</v>
      </c>
      <c r="B87" s="145">
        <v>2014</v>
      </c>
      <c r="C87" s="146">
        <v>0</v>
      </c>
      <c r="D87" s="147" t="e">
        <f t="shared" si="6"/>
        <v>#DIV/0!</v>
      </c>
    </row>
    <row r="88" spans="1:5" x14ac:dyDescent="0.25">
      <c r="A88" s="1">
        <v>9</v>
      </c>
      <c r="B88" s="145">
        <v>2013</v>
      </c>
      <c r="C88" s="146">
        <v>0</v>
      </c>
      <c r="D88" s="147" t="e">
        <f t="shared" si="6"/>
        <v>#DIV/0!</v>
      </c>
    </row>
    <row r="89" spans="1:5" x14ac:dyDescent="0.25">
      <c r="A89" s="1">
        <v>10</v>
      </c>
      <c r="B89" s="145">
        <v>2012</v>
      </c>
      <c r="C89" s="146">
        <v>0</v>
      </c>
      <c r="D89" s="147" t="e">
        <f>C89/C90-1</f>
        <v>#DIV/0!</v>
      </c>
    </row>
    <row r="90" spans="1:5" x14ac:dyDescent="0.25">
      <c r="A90" s="1">
        <v>11</v>
      </c>
      <c r="B90" s="145">
        <v>2011</v>
      </c>
      <c r="C90" s="146">
        <v>0</v>
      </c>
      <c r="D90" s="147" t="e">
        <f t="shared" ref="D90" si="7">C90/C91-1</f>
        <v>#DIV/0!</v>
      </c>
    </row>
    <row r="91" spans="1:5" x14ac:dyDescent="0.25">
      <c r="A91" s="1">
        <v>12</v>
      </c>
      <c r="B91" s="145">
        <v>2010</v>
      </c>
      <c r="C91" s="146">
        <v>0</v>
      </c>
      <c r="D91" s="147"/>
    </row>
    <row r="92" spans="1:5" ht="6" customHeight="1" x14ac:dyDescent="0.25"/>
    <row r="93" spans="1:5" x14ac:dyDescent="0.25">
      <c r="B93" s="131" t="s">
        <v>57</v>
      </c>
      <c r="C93" s="131"/>
      <c r="D93" s="131"/>
    </row>
    <row r="96" spans="1:5" ht="48.75" customHeight="1" thickBot="1" x14ac:dyDescent="0.3">
      <c r="B96" s="12" t="s">
        <v>261</v>
      </c>
      <c r="C96" s="12"/>
      <c r="D96" s="12"/>
      <c r="E96" s="1" t="s">
        <v>116</v>
      </c>
    </row>
    <row r="97" spans="2:5" ht="10.5" customHeight="1" thickBot="1" x14ac:dyDescent="0.3">
      <c r="B97" s="132"/>
      <c r="C97" s="133"/>
      <c r="D97" s="132"/>
      <c r="E97" s="1" t="s">
        <v>117</v>
      </c>
    </row>
    <row r="98" spans="2:5" ht="22.5" thickTop="1" thickBot="1" x14ac:dyDescent="0.3">
      <c r="B98" s="152" t="s">
        <v>98</v>
      </c>
      <c r="C98" s="135" t="s">
        <v>34</v>
      </c>
      <c r="D98" s="136"/>
    </row>
    <row r="99" spans="2:5" ht="16.5" thickTop="1" thickBot="1" x14ac:dyDescent="0.3">
      <c r="B99" s="109"/>
      <c r="C99" s="142" t="s">
        <v>140</v>
      </c>
      <c r="D99" s="143" t="s">
        <v>141</v>
      </c>
    </row>
    <row r="100" spans="2:5" x14ac:dyDescent="0.25">
      <c r="B100" s="145">
        <v>2024</v>
      </c>
      <c r="C100" s="146">
        <v>51880</v>
      </c>
      <c r="D100" s="147">
        <f t="shared" ref="D100:D113" si="8">C100/C101-1</f>
        <v>4.7065471865665565E-2</v>
      </c>
    </row>
    <row r="101" spans="2:5" x14ac:dyDescent="0.25">
      <c r="B101" s="145">
        <v>2023</v>
      </c>
      <c r="C101" s="146">
        <v>49548</v>
      </c>
      <c r="D101" s="147">
        <f t="shared" si="8"/>
        <v>8.1385451450271651E-2</v>
      </c>
    </row>
    <row r="102" spans="2:5" x14ac:dyDescent="0.25">
      <c r="B102" s="145">
        <v>2022</v>
      </c>
      <c r="C102" s="146">
        <v>45819</v>
      </c>
      <c r="D102" s="147">
        <f t="shared" si="8"/>
        <v>0.92873379356794072</v>
      </c>
    </row>
    <row r="103" spans="2:5" x14ac:dyDescent="0.25">
      <c r="B103" s="145">
        <v>2021</v>
      </c>
      <c r="C103" s="146">
        <v>23756</v>
      </c>
      <c r="D103" s="147">
        <f t="shared" si="8"/>
        <v>0.21290717859695696</v>
      </c>
    </row>
    <row r="104" spans="2:5" x14ac:dyDescent="0.25">
      <c r="B104" s="145">
        <v>2020</v>
      </c>
      <c r="C104" s="146">
        <v>19586</v>
      </c>
      <c r="D104" s="147">
        <f t="shared" si="8"/>
        <v>-0.72268395939230046</v>
      </c>
    </row>
    <row r="105" spans="2:5" x14ac:dyDescent="0.25">
      <c r="B105" s="145">
        <v>2019</v>
      </c>
      <c r="C105" s="146">
        <v>70627</v>
      </c>
      <c r="D105" s="147">
        <f t="shared" si="8"/>
        <v>-0.27638494718400053</v>
      </c>
    </row>
    <row r="106" spans="2:5" x14ac:dyDescent="0.25">
      <c r="B106" s="145">
        <v>2018</v>
      </c>
      <c r="C106" s="146">
        <v>97603</v>
      </c>
      <c r="D106" s="147">
        <f t="shared" si="8"/>
        <v>3.7656414454449783E-2</v>
      </c>
    </row>
    <row r="107" spans="2:5" x14ac:dyDescent="0.25">
      <c r="B107" s="145">
        <v>2017</v>
      </c>
      <c r="C107" s="146">
        <v>94061</v>
      </c>
      <c r="D107" s="147">
        <f t="shared" si="8"/>
        <v>0.13306029030898037</v>
      </c>
    </row>
    <row r="108" spans="2:5" x14ac:dyDescent="0.25">
      <c r="B108" s="145">
        <v>2016</v>
      </c>
      <c r="C108" s="146">
        <v>83015</v>
      </c>
      <c r="D108" s="147">
        <f t="shared" si="8"/>
        <v>0.24819570577975592</v>
      </c>
    </row>
    <row r="109" spans="2:5" x14ac:dyDescent="0.25">
      <c r="B109" s="145">
        <v>2015</v>
      </c>
      <c r="C109" s="146">
        <v>66508</v>
      </c>
      <c r="D109" s="147">
        <f t="shared" si="8"/>
        <v>0.10207463379068082</v>
      </c>
    </row>
    <row r="110" spans="2:5" x14ac:dyDescent="0.25">
      <c r="B110" s="145">
        <v>2014</v>
      </c>
      <c r="C110" s="146">
        <v>60348</v>
      </c>
      <c r="D110" s="147">
        <f t="shared" si="8"/>
        <v>-2.4993941352290161E-2</v>
      </c>
    </row>
    <row r="111" spans="2:5" x14ac:dyDescent="0.25">
      <c r="B111" s="145">
        <v>2013</v>
      </c>
      <c r="C111" s="146">
        <v>61895</v>
      </c>
      <c r="D111" s="147">
        <f t="shared" si="8"/>
        <v>-0.12028482901731141</v>
      </c>
    </row>
    <row r="112" spans="2:5" x14ac:dyDescent="0.25">
      <c r="B112" s="145">
        <v>2012</v>
      </c>
      <c r="C112" s="146">
        <v>70358</v>
      </c>
      <c r="D112" s="147">
        <f t="shared" si="8"/>
        <v>-0.13404472670432865</v>
      </c>
    </row>
    <row r="113" spans="2:4" x14ac:dyDescent="0.25">
      <c r="B113" s="145">
        <v>2011</v>
      </c>
      <c r="C113" s="146">
        <v>81249</v>
      </c>
      <c r="D113" s="147">
        <f t="shared" si="8"/>
        <v>0.3400791687283522</v>
      </c>
    </row>
    <row r="114" spans="2:4" x14ac:dyDescent="0.25">
      <c r="B114" s="145">
        <v>2010</v>
      </c>
      <c r="C114" s="146">
        <v>60630</v>
      </c>
      <c r="D114" s="147"/>
    </row>
    <row r="115" spans="2:4" ht="6" customHeight="1" x14ac:dyDescent="0.25"/>
    <row r="116" spans="2:4" x14ac:dyDescent="0.25">
      <c r="B116" s="131" t="s">
        <v>57</v>
      </c>
      <c r="C116" s="131"/>
      <c r="D116" s="131"/>
    </row>
  </sheetData>
  <mergeCells count="10">
    <mergeCell ref="B73:D73"/>
    <mergeCell ref="C75:D75"/>
    <mergeCell ref="B96:D96"/>
    <mergeCell ref="C98:D98"/>
    <mergeCell ref="B4:D4"/>
    <mergeCell ref="C6:D6"/>
    <mergeCell ref="B27:D27"/>
    <mergeCell ref="C29:D29"/>
    <mergeCell ref="B50:D50"/>
    <mergeCell ref="C52:D52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1020B-951B-4F81-BFBD-27735B014C73}">
  <sheetPr>
    <tabColor theme="7" tint="0.79998168889431442"/>
  </sheetPr>
  <dimension ref="A1:V59"/>
  <sheetViews>
    <sheetView showGridLines="0" workbookViewId="0">
      <selection activeCell="G10" sqref="G10"/>
    </sheetView>
  </sheetViews>
  <sheetFormatPr baseColWidth="10" defaultRowHeight="15" x14ac:dyDescent="0.25"/>
  <cols>
    <col min="1" max="1" width="15.5703125" customWidth="1"/>
    <col min="2" max="2" width="27.42578125" customWidth="1"/>
    <col min="3" max="8" width="12.85546875" customWidth="1"/>
    <col min="9" max="10" width="9.7109375" customWidth="1"/>
    <col min="11" max="11" width="12.28515625" customWidth="1"/>
    <col min="17" max="18" width="11.42578125" customWidth="1"/>
    <col min="19" max="20" width="10.42578125" customWidth="1"/>
    <col min="21" max="21" width="11.140625" customWidth="1"/>
    <col min="22" max="22" width="10.42578125" customWidth="1"/>
  </cols>
  <sheetData>
    <row r="1" spans="1:22" ht="42.75" customHeight="1" x14ac:dyDescent="0.25"/>
    <row r="2" spans="1:22" ht="23.25" x14ac:dyDescent="0.35">
      <c r="B2" s="157"/>
      <c r="C2" s="157"/>
      <c r="D2" s="157"/>
      <c r="E2" s="157"/>
      <c r="F2" s="157"/>
    </row>
    <row r="3" spans="1:22" ht="40.5" customHeight="1" thickBot="1" x14ac:dyDescent="0.3">
      <c r="B3" s="85" t="s">
        <v>145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</row>
    <row r="4" spans="1:22" ht="8.25" customHeight="1" thickBot="1" x14ac:dyDescent="0.3">
      <c r="B4" s="107"/>
      <c r="C4" s="107"/>
      <c r="D4" s="107"/>
      <c r="E4" s="107"/>
      <c r="F4" s="107"/>
      <c r="G4" s="107"/>
      <c r="H4" s="107"/>
      <c r="I4" s="107"/>
      <c r="J4" s="108"/>
      <c r="K4" s="107"/>
      <c r="L4" s="107"/>
      <c r="M4" s="107"/>
      <c r="N4" s="107"/>
      <c r="O4" s="107"/>
      <c r="P4" s="107"/>
      <c r="Q4" s="107"/>
      <c r="R4" s="108"/>
      <c r="S4" s="108"/>
      <c r="T4" s="108"/>
      <c r="U4" s="108"/>
      <c r="V4" s="108"/>
    </row>
    <row r="5" spans="1:22" ht="60.75" thickBot="1" x14ac:dyDescent="0.3">
      <c r="B5" s="109"/>
      <c r="C5" s="158" t="s">
        <v>262</v>
      </c>
      <c r="D5" s="158" t="s">
        <v>233</v>
      </c>
      <c r="E5" s="158" t="s">
        <v>234</v>
      </c>
      <c r="F5" s="158" t="s">
        <v>235</v>
      </c>
      <c r="G5" s="158" t="s">
        <v>236</v>
      </c>
      <c r="H5" s="158" t="s">
        <v>237</v>
      </c>
      <c r="I5" s="159" t="str">
        <f>CONCATENATE("var. ",RIGHT(H5,2),"/",RIGHT(G5,2))</f>
        <v>var. 25/24</v>
      </c>
      <c r="J5" s="159" t="str">
        <f>CONCATENATE("dif. ",RIGHT(H5,2),"/",RIGHT(G5,2))</f>
        <v>dif. 25/24</v>
      </c>
      <c r="K5" s="15" t="str">
        <f>CONCATENATE("cuota ",H5)</f>
        <v>cuota acumulado a septiembre 2025</v>
      </c>
      <c r="L5" s="15" t="str">
        <f>CONCATENATE("cuota/ total municipio ",RIGHT(H5,2))</f>
        <v>cuota/ total municipio 25</v>
      </c>
      <c r="M5" s="14" t="s">
        <v>263</v>
      </c>
      <c r="N5" s="14" t="s">
        <v>228</v>
      </c>
      <c r="O5" s="14" t="s">
        <v>229</v>
      </c>
      <c r="P5" s="14" t="s">
        <v>230</v>
      </c>
      <c r="Q5" s="14" t="s">
        <v>231</v>
      </c>
      <c r="R5" s="14" t="s">
        <v>232</v>
      </c>
      <c r="S5" s="159" t="str">
        <f>CONCATENATE("var. ",RIGHT(R5,2),"/",RIGHT(Q5,2))</f>
        <v>var. 25/24</v>
      </c>
      <c r="T5" s="159" t="str">
        <f>CONCATENATE("dif. ",RIGHT(R5,2),"/",RIGHT(Q5,2))</f>
        <v>dif. 25/24</v>
      </c>
      <c r="U5" s="15" t="str">
        <f>CONCATENATE("cuota ",R5)</f>
        <v>cuota septiembre 2025</v>
      </c>
      <c r="V5" s="160" t="str">
        <f>CONCATENATE("cuota/ total municipio ",RIGHT(R5,2))</f>
        <v>cuota/ total municipio 25</v>
      </c>
    </row>
    <row r="6" spans="1:22" ht="15.75" x14ac:dyDescent="0.25">
      <c r="B6" s="161" t="s">
        <v>45</v>
      </c>
      <c r="C6" s="162">
        <v>1311192</v>
      </c>
      <c r="D6" s="162">
        <v>1311969</v>
      </c>
      <c r="E6" s="162">
        <v>3492085</v>
      </c>
      <c r="F6" s="162">
        <v>3849133</v>
      </c>
      <c r="G6" s="162">
        <v>4095618</v>
      </c>
      <c r="H6" s="162">
        <v>4071791</v>
      </c>
      <c r="I6" s="163">
        <f>IFERROR(H6/G6-1,"-")</f>
        <v>-5.8176812388264221E-3</v>
      </c>
      <c r="J6" s="162">
        <f>IFERROR(H6-G6,"-")</f>
        <v>-23827</v>
      </c>
      <c r="K6" s="163">
        <f t="shared" ref="K6:K57" si="0">IFERROR(H6/$H$6,"-")</f>
        <v>1</v>
      </c>
      <c r="L6" s="164">
        <f>H6/H6</f>
        <v>1</v>
      </c>
      <c r="M6" s="162">
        <v>109886</v>
      </c>
      <c r="N6" s="162">
        <v>280035</v>
      </c>
      <c r="O6" s="162">
        <v>390968</v>
      </c>
      <c r="P6" s="162">
        <v>423998</v>
      </c>
      <c r="Q6" s="162">
        <v>434954</v>
      </c>
      <c r="R6" s="162">
        <v>435535</v>
      </c>
      <c r="S6" s="163">
        <f>IFERROR(R6/Q6-1,"-")</f>
        <v>1.3357734381107544E-3</v>
      </c>
      <c r="T6" s="162">
        <f t="shared" ref="T6:T57" si="1">R6-Q6</f>
        <v>581</v>
      </c>
      <c r="U6" s="163">
        <f>IFERROR(P6/$P$6,"-")</f>
        <v>1</v>
      </c>
      <c r="V6" s="164">
        <f>IFERROR(R6/R6,"-")</f>
        <v>1</v>
      </c>
    </row>
    <row r="7" spans="1:22" ht="15.75" x14ac:dyDescent="0.25">
      <c r="B7" s="165" t="s">
        <v>62</v>
      </c>
      <c r="C7" s="166">
        <v>1002314</v>
      </c>
      <c r="D7" s="166">
        <v>1038412</v>
      </c>
      <c r="E7" s="166">
        <v>2770259</v>
      </c>
      <c r="F7" s="166">
        <v>3031978</v>
      </c>
      <c r="G7" s="166">
        <v>3198024</v>
      </c>
      <c r="H7" s="166">
        <v>3129351</v>
      </c>
      <c r="I7" s="167">
        <f t="shared" ref="I7:I57" si="2">IFERROR(H7/G7-1,"-")</f>
        <v>-2.147357243097614E-2</v>
      </c>
      <c r="J7" s="166">
        <f t="shared" ref="J7:J57" si="3">IFERROR(H7-G7,"-")</f>
        <v>-68673</v>
      </c>
      <c r="K7" s="167">
        <f t="shared" si="0"/>
        <v>0.76854411240655529</v>
      </c>
      <c r="L7" s="167">
        <f>H7/H6</f>
        <v>0.76854411240655529</v>
      </c>
      <c r="M7" s="166">
        <v>87408</v>
      </c>
      <c r="N7" s="166">
        <v>229668</v>
      </c>
      <c r="O7" s="166">
        <v>311856</v>
      </c>
      <c r="P7" s="166">
        <v>334033</v>
      </c>
      <c r="Q7" s="166">
        <v>340570</v>
      </c>
      <c r="R7" s="166">
        <v>333006</v>
      </c>
      <c r="S7" s="167">
        <f t="shared" ref="S7:S57" si="4">IFERROR(R7/Q7-1,"-")</f>
        <v>-2.2209824705640591E-2</v>
      </c>
      <c r="T7" s="166">
        <f t="shared" si="1"/>
        <v>-7564</v>
      </c>
      <c r="U7" s="167">
        <f t="shared" ref="U7:U57" si="5">IFERROR(P7/$P$6,"-")</f>
        <v>0.78781739536507245</v>
      </c>
      <c r="V7" s="167">
        <f>IFERROR(R7/R6,"-")</f>
        <v>0.76459067583546669</v>
      </c>
    </row>
    <row r="8" spans="1:22" x14ac:dyDescent="0.25">
      <c r="B8" s="123" t="s">
        <v>142</v>
      </c>
      <c r="C8" s="70">
        <v>795657</v>
      </c>
      <c r="D8" s="70">
        <v>856378</v>
      </c>
      <c r="E8" s="70">
        <v>2279770</v>
      </c>
      <c r="F8" s="70">
        <v>2487865</v>
      </c>
      <c r="G8" s="70">
        <v>2634612</v>
      </c>
      <c r="H8" s="70">
        <v>2566113</v>
      </c>
      <c r="I8" s="124">
        <f t="shared" si="2"/>
        <v>-2.5999653838971404E-2</v>
      </c>
      <c r="J8" s="70">
        <f t="shared" si="3"/>
        <v>-68499</v>
      </c>
      <c r="K8" s="124">
        <f t="shared" si="0"/>
        <v>0.63021726802775491</v>
      </c>
      <c r="L8" s="124">
        <f>H8/H6</f>
        <v>0.63021726802775491</v>
      </c>
      <c r="M8" s="70">
        <v>68556</v>
      </c>
      <c r="N8" s="70">
        <v>191758</v>
      </c>
      <c r="O8" s="70">
        <v>256065</v>
      </c>
      <c r="P8" s="70">
        <v>277683</v>
      </c>
      <c r="Q8" s="70">
        <v>281159</v>
      </c>
      <c r="R8" s="70">
        <v>271803</v>
      </c>
      <c r="S8" s="124">
        <f t="shared" si="4"/>
        <v>-3.3276544588649148E-2</v>
      </c>
      <c r="T8" s="70">
        <f t="shared" si="1"/>
        <v>-9356</v>
      </c>
      <c r="U8" s="124">
        <f t="shared" si="5"/>
        <v>0.65491582507464663</v>
      </c>
      <c r="V8" s="124">
        <f>IFERROR(R8/R6,"-")</f>
        <v>0.62406695213932295</v>
      </c>
    </row>
    <row r="9" spans="1:22" x14ac:dyDescent="0.25">
      <c r="B9" s="123" t="s">
        <v>144</v>
      </c>
      <c r="C9" s="70">
        <v>206657</v>
      </c>
      <c r="D9" s="70">
        <v>182034</v>
      </c>
      <c r="E9" s="70">
        <v>490489</v>
      </c>
      <c r="F9" s="70">
        <v>544113</v>
      </c>
      <c r="G9" s="70">
        <v>563412</v>
      </c>
      <c r="H9" s="70">
        <v>563238</v>
      </c>
      <c r="I9" s="124">
        <f t="shared" si="2"/>
        <v>-3.0883261272385276E-4</v>
      </c>
      <c r="J9" s="70">
        <f t="shared" si="3"/>
        <v>-174</v>
      </c>
      <c r="K9" s="124">
        <f t="shared" si="0"/>
        <v>0.13832684437880038</v>
      </c>
      <c r="L9" s="124">
        <f>H9/H6</f>
        <v>0.13832684437880038</v>
      </c>
      <c r="M9" s="70">
        <v>18852</v>
      </c>
      <c r="N9" s="70">
        <v>37910</v>
      </c>
      <c r="O9" s="70">
        <v>55791</v>
      </c>
      <c r="P9" s="70">
        <v>56350</v>
      </c>
      <c r="Q9" s="70">
        <v>59411</v>
      </c>
      <c r="R9" s="70">
        <v>61203</v>
      </c>
      <c r="S9" s="124">
        <f t="shared" si="4"/>
        <v>3.01627644712259E-2</v>
      </c>
      <c r="T9" s="70">
        <f t="shared" si="1"/>
        <v>1792</v>
      </c>
      <c r="U9" s="124">
        <f t="shared" si="5"/>
        <v>0.1329015702904259</v>
      </c>
      <c r="V9" s="124">
        <f>IFERROR(R9/R6,"-")</f>
        <v>0.14052372369614383</v>
      </c>
    </row>
    <row r="10" spans="1:22" ht="16.5" thickBot="1" x14ac:dyDescent="0.3">
      <c r="B10" s="168" t="s">
        <v>65</v>
      </c>
      <c r="C10" s="169">
        <v>303151</v>
      </c>
      <c r="D10" s="169">
        <v>273557</v>
      </c>
      <c r="E10" s="169">
        <v>721826</v>
      </c>
      <c r="F10" s="169">
        <v>817155</v>
      </c>
      <c r="G10" s="169">
        <v>897594</v>
      </c>
      <c r="H10" s="169">
        <v>942440</v>
      </c>
      <c r="I10" s="170">
        <f t="shared" si="2"/>
        <v>4.9962455185752042E-2</v>
      </c>
      <c r="J10" s="169">
        <f t="shared" si="3"/>
        <v>44846</v>
      </c>
      <c r="K10" s="170">
        <f t="shared" si="0"/>
        <v>0.23145588759344476</v>
      </c>
      <c r="L10" s="170">
        <f>H10/H6</f>
        <v>0.23145588759344476</v>
      </c>
      <c r="M10" s="169">
        <v>22478</v>
      </c>
      <c r="N10" s="169">
        <v>50367</v>
      </c>
      <c r="O10" s="169">
        <v>79112</v>
      </c>
      <c r="P10" s="169">
        <v>89965</v>
      </c>
      <c r="Q10" s="169">
        <v>94384</v>
      </c>
      <c r="R10" s="169">
        <v>102529</v>
      </c>
      <c r="S10" s="170">
        <f t="shared" si="4"/>
        <v>8.6296406170537354E-2</v>
      </c>
      <c r="T10" s="169">
        <f t="shared" si="1"/>
        <v>8145</v>
      </c>
      <c r="U10" s="170">
        <f t="shared" si="5"/>
        <v>0.21218260463492752</v>
      </c>
      <c r="V10" s="170">
        <f>IFERROR(R10/R6,"-")</f>
        <v>0.23540932416453328</v>
      </c>
    </row>
    <row r="11" spans="1:22" ht="15.75" x14ac:dyDescent="0.25">
      <c r="A11" s="171">
        <f>G11/$G$11</f>
        <v>1</v>
      </c>
      <c r="B11" s="161" t="s">
        <v>46</v>
      </c>
      <c r="C11" s="162">
        <v>434246</v>
      </c>
      <c r="D11" s="162">
        <v>505565</v>
      </c>
      <c r="E11" s="162">
        <v>1298122</v>
      </c>
      <c r="F11" s="162">
        <v>1400057</v>
      </c>
      <c r="G11" s="162">
        <v>1449683</v>
      </c>
      <c r="H11" s="162">
        <v>1380443</v>
      </c>
      <c r="I11" s="163">
        <f t="shared" si="2"/>
        <v>-4.7762165935587242E-2</v>
      </c>
      <c r="J11" s="162">
        <f t="shared" si="3"/>
        <v>-69240</v>
      </c>
      <c r="K11" s="163">
        <f t="shared" si="0"/>
        <v>0.33902599617711221</v>
      </c>
      <c r="L11" s="164">
        <f>H11/H11</f>
        <v>1</v>
      </c>
      <c r="M11" s="162">
        <v>37281</v>
      </c>
      <c r="N11" s="162">
        <v>105384</v>
      </c>
      <c r="O11" s="162">
        <v>140395</v>
      </c>
      <c r="P11" s="162">
        <v>153067</v>
      </c>
      <c r="Q11" s="162">
        <v>148572</v>
      </c>
      <c r="R11" s="162">
        <v>143018</v>
      </c>
      <c r="S11" s="163">
        <f t="shared" si="4"/>
        <v>-3.738254852865952E-2</v>
      </c>
      <c r="T11" s="162">
        <f t="shared" si="1"/>
        <v>-5554</v>
      </c>
      <c r="U11" s="163">
        <f t="shared" si="5"/>
        <v>0.36100877834329409</v>
      </c>
      <c r="V11" s="164">
        <f>IFERROR(R11/R11,"-")</f>
        <v>1</v>
      </c>
    </row>
    <row r="12" spans="1:22" ht="15.75" x14ac:dyDescent="0.25">
      <c r="A12" s="171">
        <f>G12/$G$11</f>
        <v>0.81410349710936802</v>
      </c>
      <c r="B12" s="165" t="s">
        <v>62</v>
      </c>
      <c r="C12" s="166">
        <v>352777</v>
      </c>
      <c r="D12" s="166">
        <v>425407</v>
      </c>
      <c r="E12" s="166">
        <v>1107347</v>
      </c>
      <c r="F12" s="166">
        <v>1144954</v>
      </c>
      <c r="G12" s="166">
        <v>1180192</v>
      </c>
      <c r="H12" s="166">
        <v>1097321</v>
      </c>
      <c r="I12" s="167">
        <f t="shared" si="2"/>
        <v>-7.0218235676906771E-2</v>
      </c>
      <c r="J12" s="166">
        <f t="shared" si="3"/>
        <v>-82871</v>
      </c>
      <c r="K12" s="167">
        <f t="shared" si="0"/>
        <v>0.26949344895157928</v>
      </c>
      <c r="L12" s="167">
        <f>H12/H11</f>
        <v>0.79490496891215356</v>
      </c>
      <c r="M12" s="166">
        <v>29045</v>
      </c>
      <c r="N12" s="166">
        <v>92716</v>
      </c>
      <c r="O12" s="166">
        <v>116996</v>
      </c>
      <c r="P12" s="166">
        <v>125237</v>
      </c>
      <c r="Q12" s="166">
        <v>121062</v>
      </c>
      <c r="R12" s="166">
        <v>112012</v>
      </c>
      <c r="S12" s="167">
        <f t="shared" si="4"/>
        <v>-7.47550841717467E-2</v>
      </c>
      <c r="T12" s="166">
        <f t="shared" si="1"/>
        <v>-9050</v>
      </c>
      <c r="U12" s="167">
        <f t="shared" si="5"/>
        <v>0.29537167628149191</v>
      </c>
      <c r="V12" s="167">
        <f>IFERROR(R12/R11,"-")</f>
        <v>0.78320211441916399</v>
      </c>
    </row>
    <row r="13" spans="1:22" x14ac:dyDescent="0.25">
      <c r="A13" s="171">
        <f>G13/$G$11</f>
        <v>0.73458542315802833</v>
      </c>
      <c r="B13" s="123" t="s">
        <v>142</v>
      </c>
      <c r="C13" s="70">
        <v>313172</v>
      </c>
      <c r="D13" s="70">
        <v>398389</v>
      </c>
      <c r="E13" s="70">
        <v>987366</v>
      </c>
      <c r="F13" s="70">
        <v>1021223</v>
      </c>
      <c r="G13" s="70">
        <v>1064916</v>
      </c>
      <c r="H13" s="70">
        <v>977588</v>
      </c>
      <c r="I13" s="124">
        <f t="shared" si="2"/>
        <v>-8.2004590033392333E-2</v>
      </c>
      <c r="J13" s="70">
        <f t="shared" si="3"/>
        <v>-87328</v>
      </c>
      <c r="K13" s="124">
        <f t="shared" si="0"/>
        <v>0.24008796129270879</v>
      </c>
      <c r="L13" s="124">
        <f>H13/H11</f>
        <v>0.70816976869019588</v>
      </c>
      <c r="M13" s="70">
        <v>28487</v>
      </c>
      <c r="N13" s="70">
        <v>84214</v>
      </c>
      <c r="O13" s="70">
        <v>103802</v>
      </c>
      <c r="P13" s="70">
        <v>112485</v>
      </c>
      <c r="Q13" s="70">
        <v>109297</v>
      </c>
      <c r="R13" s="70">
        <v>99605</v>
      </c>
      <c r="S13" s="124">
        <f t="shared" si="4"/>
        <v>-8.8675809949037898E-2</v>
      </c>
      <c r="T13" s="70">
        <f t="shared" si="1"/>
        <v>-9692</v>
      </c>
      <c r="U13" s="124">
        <f t="shared" si="5"/>
        <v>0.26529606271727696</v>
      </c>
      <c r="V13" s="124">
        <f>IFERROR(R13/R11,"-")</f>
        <v>0.69645079640324992</v>
      </c>
    </row>
    <row r="14" spans="1:22" x14ac:dyDescent="0.25">
      <c r="A14" s="171">
        <f>G14/$G$11</f>
        <v>7.951807395133971E-2</v>
      </c>
      <c r="B14" s="123" t="s">
        <v>144</v>
      </c>
      <c r="C14" s="70">
        <v>39605</v>
      </c>
      <c r="D14" s="70">
        <v>27018</v>
      </c>
      <c r="E14" s="70">
        <v>119981</v>
      </c>
      <c r="F14" s="70">
        <v>123731</v>
      </c>
      <c r="G14" s="70">
        <v>115276</v>
      </c>
      <c r="H14" s="70">
        <v>119733</v>
      </c>
      <c r="I14" s="124">
        <f t="shared" si="2"/>
        <v>3.8663728790034435E-2</v>
      </c>
      <c r="J14" s="70">
        <f t="shared" si="3"/>
        <v>4457</v>
      </c>
      <c r="K14" s="124">
        <f t="shared" si="0"/>
        <v>2.9405487658870508E-2</v>
      </c>
      <c r="L14" s="124">
        <f>H14/H11</f>
        <v>8.6735200221957728E-2</v>
      </c>
      <c r="M14" s="70">
        <v>558</v>
      </c>
      <c r="N14" s="70">
        <v>8502</v>
      </c>
      <c r="O14" s="70">
        <v>13194</v>
      </c>
      <c r="P14" s="70">
        <v>12752</v>
      </c>
      <c r="Q14" s="70">
        <v>11765</v>
      </c>
      <c r="R14" s="70">
        <v>12407</v>
      </c>
      <c r="S14" s="124">
        <f t="shared" si="4"/>
        <v>5.4568635784105313E-2</v>
      </c>
      <c r="T14" s="70">
        <f t="shared" si="1"/>
        <v>642</v>
      </c>
      <c r="U14" s="124">
        <f t="shared" si="5"/>
        <v>3.0075613564214926E-2</v>
      </c>
      <c r="V14" s="124">
        <f>IFERROR(R14/R11,"-")</f>
        <v>8.6751318015914083E-2</v>
      </c>
    </row>
    <row r="15" spans="1:22" ht="16.5" thickBot="1" x14ac:dyDescent="0.3">
      <c r="A15" s="171">
        <f>G15/$G$11</f>
        <v>0.18589650289063195</v>
      </c>
      <c r="B15" s="168" t="s">
        <v>65</v>
      </c>
      <c r="C15" s="169">
        <v>81469</v>
      </c>
      <c r="D15" s="169">
        <v>80158</v>
      </c>
      <c r="E15" s="169">
        <v>190775</v>
      </c>
      <c r="F15" s="169">
        <v>255103</v>
      </c>
      <c r="G15" s="169">
        <v>269491</v>
      </c>
      <c r="H15" s="169">
        <v>283122</v>
      </c>
      <c r="I15" s="170">
        <f t="shared" si="2"/>
        <v>5.0580538867717184E-2</v>
      </c>
      <c r="J15" s="169">
        <f t="shared" si="3"/>
        <v>13631</v>
      </c>
      <c r="K15" s="170">
        <f t="shared" si="0"/>
        <v>6.953254722553294E-2</v>
      </c>
      <c r="L15" s="170">
        <f>H15/H11</f>
        <v>0.20509503108784644</v>
      </c>
      <c r="M15" s="169">
        <v>8236</v>
      </c>
      <c r="N15" s="169">
        <v>12668</v>
      </c>
      <c r="O15" s="169">
        <v>23399</v>
      </c>
      <c r="P15" s="169">
        <v>27830</v>
      </c>
      <c r="Q15" s="169">
        <v>27510</v>
      </c>
      <c r="R15" s="169">
        <v>31006</v>
      </c>
      <c r="S15" s="170">
        <f t="shared" si="4"/>
        <v>0.12708106143220643</v>
      </c>
      <c r="T15" s="169">
        <f t="shared" si="1"/>
        <v>3496</v>
      </c>
      <c r="U15" s="170">
        <f t="shared" si="5"/>
        <v>6.5637102061802177E-2</v>
      </c>
      <c r="V15" s="170">
        <f>IFERROR(R15/R11,"-")</f>
        <v>0.21679788558083599</v>
      </c>
    </row>
    <row r="16" spans="1:22" ht="15.75" x14ac:dyDescent="0.25">
      <c r="A16" s="103"/>
      <c r="B16" s="161" t="s">
        <v>47</v>
      </c>
      <c r="C16" s="162">
        <v>298260</v>
      </c>
      <c r="D16" s="162">
        <v>235520</v>
      </c>
      <c r="E16" s="162">
        <v>914043</v>
      </c>
      <c r="F16" s="162">
        <v>974839</v>
      </c>
      <c r="G16" s="162">
        <v>1033377</v>
      </c>
      <c r="H16" s="162">
        <v>1061717</v>
      </c>
      <c r="I16" s="163">
        <f t="shared" si="2"/>
        <v>2.7424647539087799E-2</v>
      </c>
      <c r="J16" s="162">
        <f t="shared" si="3"/>
        <v>28340</v>
      </c>
      <c r="K16" s="163">
        <f t="shared" si="0"/>
        <v>0.26074938522139274</v>
      </c>
      <c r="L16" s="164">
        <f>H16/H16</f>
        <v>1</v>
      </c>
      <c r="M16" s="162">
        <v>18180</v>
      </c>
      <c r="N16" s="162">
        <v>59020</v>
      </c>
      <c r="O16" s="162">
        <v>103298</v>
      </c>
      <c r="P16" s="162">
        <v>107312</v>
      </c>
      <c r="Q16" s="162">
        <v>111150</v>
      </c>
      <c r="R16" s="162">
        <v>115871</v>
      </c>
      <c r="S16" s="163">
        <f t="shared" si="4"/>
        <v>4.2474134053081425E-2</v>
      </c>
      <c r="T16" s="162">
        <f t="shared" si="1"/>
        <v>4721</v>
      </c>
      <c r="U16" s="163">
        <f t="shared" si="5"/>
        <v>0.25309553346949748</v>
      </c>
      <c r="V16" s="164">
        <f>IFERROR(R16/R16,"-")</f>
        <v>1</v>
      </c>
    </row>
    <row r="17" spans="2:22" ht="15.75" x14ac:dyDescent="0.25">
      <c r="B17" s="165" t="s">
        <v>62</v>
      </c>
      <c r="C17" s="166">
        <v>170072</v>
      </c>
      <c r="D17" s="166">
        <v>104720</v>
      </c>
      <c r="E17" s="166">
        <v>546989</v>
      </c>
      <c r="F17" s="166">
        <v>598309</v>
      </c>
      <c r="G17" s="166">
        <v>639306</v>
      </c>
      <c r="H17" s="166">
        <v>653963</v>
      </c>
      <c r="I17" s="167">
        <f t="shared" si="2"/>
        <v>2.2926423340309698E-2</v>
      </c>
      <c r="J17" s="166">
        <f t="shared" si="3"/>
        <v>14657</v>
      </c>
      <c r="K17" s="167">
        <f t="shared" si="0"/>
        <v>0.16060819428109155</v>
      </c>
      <c r="L17" s="167">
        <f>H17/H16</f>
        <v>0.61594850605198936</v>
      </c>
      <c r="M17" s="166">
        <v>8785</v>
      </c>
      <c r="N17" s="166">
        <v>33952</v>
      </c>
      <c r="O17" s="166">
        <v>64404</v>
      </c>
      <c r="P17" s="166">
        <v>67208</v>
      </c>
      <c r="Q17" s="166">
        <v>71650</v>
      </c>
      <c r="R17" s="166">
        <v>71402</v>
      </c>
      <c r="S17" s="167">
        <f t="shared" si="4"/>
        <v>-3.4612700628052773E-3</v>
      </c>
      <c r="T17" s="166">
        <f t="shared" si="1"/>
        <v>-248</v>
      </c>
      <c r="U17" s="167">
        <f t="shared" si="5"/>
        <v>0.15851018165180025</v>
      </c>
      <c r="V17" s="167">
        <f>IFERROR(R17/R16,"-")</f>
        <v>0.61621976163146952</v>
      </c>
    </row>
    <row r="18" spans="2:22" x14ac:dyDescent="0.25">
      <c r="B18" s="123" t="s">
        <v>142</v>
      </c>
      <c r="C18" s="70">
        <v>124031</v>
      </c>
      <c r="D18" s="70">
        <v>86318</v>
      </c>
      <c r="E18" s="70">
        <v>415520</v>
      </c>
      <c r="F18" s="70">
        <v>452861</v>
      </c>
      <c r="G18" s="70">
        <v>482421</v>
      </c>
      <c r="H18" s="70">
        <v>513294</v>
      </c>
      <c r="I18" s="124">
        <f t="shared" si="2"/>
        <v>6.3995970324674856E-2</v>
      </c>
      <c r="J18" s="70">
        <f t="shared" si="3"/>
        <v>30873</v>
      </c>
      <c r="K18" s="124">
        <f t="shared" si="0"/>
        <v>0.12606098888670858</v>
      </c>
      <c r="L18" s="124">
        <f>H18/H16</f>
        <v>0.48345651430654307</v>
      </c>
      <c r="M18" s="70">
        <v>6466</v>
      </c>
      <c r="N18" s="70">
        <v>28209</v>
      </c>
      <c r="O18" s="70">
        <v>49072</v>
      </c>
      <c r="P18" s="70">
        <v>51415</v>
      </c>
      <c r="Q18" s="70">
        <v>54012</v>
      </c>
      <c r="R18" s="70">
        <v>56019</v>
      </c>
      <c r="S18" s="124">
        <f t="shared" si="4"/>
        <v>3.7158409242390666E-2</v>
      </c>
      <c r="T18" s="70">
        <f t="shared" si="1"/>
        <v>2007</v>
      </c>
      <c r="U18" s="124">
        <f t="shared" si="5"/>
        <v>0.1212623644451153</v>
      </c>
      <c r="V18" s="124">
        <f>IFERROR(R18/R16,"-")</f>
        <v>0.48346005471602038</v>
      </c>
    </row>
    <row r="19" spans="2:22" x14ac:dyDescent="0.25">
      <c r="B19" s="123" t="s">
        <v>144</v>
      </c>
      <c r="C19" s="70">
        <v>46041</v>
      </c>
      <c r="D19" s="70">
        <v>18402</v>
      </c>
      <c r="E19" s="70">
        <v>131469</v>
      </c>
      <c r="F19" s="70">
        <v>145448</v>
      </c>
      <c r="G19" s="70">
        <v>156885</v>
      </c>
      <c r="H19" s="70">
        <v>140669</v>
      </c>
      <c r="I19" s="124">
        <f t="shared" si="2"/>
        <v>-0.10336233546865536</v>
      </c>
      <c r="J19" s="70">
        <f t="shared" si="3"/>
        <v>-16216</v>
      </c>
      <c r="K19" s="124">
        <f t="shared" si="0"/>
        <v>3.4547205394382961E-2</v>
      </c>
      <c r="L19" s="124">
        <f>H19/H16</f>
        <v>0.13249199174544629</v>
      </c>
      <c r="M19" s="70">
        <v>2319</v>
      </c>
      <c r="N19" s="70">
        <v>5743</v>
      </c>
      <c r="O19" s="70">
        <v>15332</v>
      </c>
      <c r="P19" s="70">
        <v>15793</v>
      </c>
      <c r="Q19" s="70">
        <v>17638</v>
      </c>
      <c r="R19" s="70">
        <v>15383</v>
      </c>
      <c r="S19" s="124">
        <f t="shared" si="4"/>
        <v>-0.12784896246739996</v>
      </c>
      <c r="T19" s="70">
        <f t="shared" si="1"/>
        <v>-2255</v>
      </c>
      <c r="U19" s="124">
        <f t="shared" si="5"/>
        <v>3.7247817206684936E-2</v>
      </c>
      <c r="V19" s="124">
        <f>IFERROR(R19/R16,"-")</f>
        <v>0.13275970691544908</v>
      </c>
    </row>
    <row r="20" spans="2:22" ht="16.5" thickBot="1" x14ac:dyDescent="0.3">
      <c r="B20" s="168" t="s">
        <v>65</v>
      </c>
      <c r="C20" s="169">
        <v>128188</v>
      </c>
      <c r="D20" s="169">
        <v>130800</v>
      </c>
      <c r="E20" s="169">
        <v>367054</v>
      </c>
      <c r="F20" s="169">
        <v>376530</v>
      </c>
      <c r="G20" s="169">
        <v>394071</v>
      </c>
      <c r="H20" s="169">
        <v>407754</v>
      </c>
      <c r="I20" s="170">
        <f t="shared" si="2"/>
        <v>3.4722169355268395E-2</v>
      </c>
      <c r="J20" s="169">
        <f t="shared" si="3"/>
        <v>13683</v>
      </c>
      <c r="K20" s="170">
        <f t="shared" si="0"/>
        <v>0.1001411909403012</v>
      </c>
      <c r="L20" s="170">
        <f>H20/H16</f>
        <v>0.38405149394801064</v>
      </c>
      <c r="M20" s="169">
        <v>9395</v>
      </c>
      <c r="N20" s="169">
        <v>25068</v>
      </c>
      <c r="O20" s="169">
        <v>38894</v>
      </c>
      <c r="P20" s="169">
        <v>40104</v>
      </c>
      <c r="Q20" s="169">
        <v>39500</v>
      </c>
      <c r="R20" s="169">
        <v>44469</v>
      </c>
      <c r="S20" s="170">
        <f t="shared" si="4"/>
        <v>0.12579746835443029</v>
      </c>
      <c r="T20" s="169">
        <f t="shared" si="1"/>
        <v>4969</v>
      </c>
      <c r="U20" s="170">
        <f t="shared" si="5"/>
        <v>9.4585351817697255E-2</v>
      </c>
      <c r="V20" s="170">
        <f>IFERROR(R20/R16,"-")</f>
        <v>0.38378023836853054</v>
      </c>
    </row>
    <row r="21" spans="2:22" ht="15.75" x14ac:dyDescent="0.25">
      <c r="B21" s="161" t="s">
        <v>48</v>
      </c>
      <c r="C21" s="162">
        <v>11345</v>
      </c>
      <c r="D21" s="162">
        <v>11501</v>
      </c>
      <c r="E21" s="162">
        <v>25651</v>
      </c>
      <c r="F21" s="162">
        <v>37060</v>
      </c>
      <c r="G21" s="162">
        <v>32035</v>
      </c>
      <c r="H21" s="162">
        <v>31967</v>
      </c>
      <c r="I21" s="163">
        <f t="shared" si="2"/>
        <v>-2.1226783205868793E-3</v>
      </c>
      <c r="J21" s="162">
        <f t="shared" si="3"/>
        <v>-68</v>
      </c>
      <c r="K21" s="163">
        <f t="shared" si="0"/>
        <v>7.8508449967102933E-3</v>
      </c>
      <c r="L21" s="164">
        <f>H21/H21</f>
        <v>1</v>
      </c>
      <c r="M21" s="162">
        <v>220</v>
      </c>
      <c r="N21" s="162">
        <v>2289</v>
      </c>
      <c r="O21" s="162">
        <v>3143</v>
      </c>
      <c r="P21" s="162">
        <v>3734</v>
      </c>
      <c r="Q21" s="162">
        <v>3135</v>
      </c>
      <c r="R21" s="162">
        <v>3984</v>
      </c>
      <c r="S21" s="163">
        <f t="shared" si="4"/>
        <v>0.27081339712918662</v>
      </c>
      <c r="T21" s="162">
        <f t="shared" si="1"/>
        <v>849</v>
      </c>
      <c r="U21" s="163">
        <f t="shared" si="5"/>
        <v>8.8066453143646906E-3</v>
      </c>
      <c r="V21" s="164">
        <f>IFERROR(R21/R21,"-")</f>
        <v>1</v>
      </c>
    </row>
    <row r="22" spans="2:22" ht="15.75" x14ac:dyDescent="0.25">
      <c r="B22" s="165" t="s">
        <v>62</v>
      </c>
      <c r="C22" s="166">
        <v>9467</v>
      </c>
      <c r="D22" s="166">
        <v>11501</v>
      </c>
      <c r="E22" s="166">
        <v>25651</v>
      </c>
      <c r="F22" s="166">
        <v>36596</v>
      </c>
      <c r="G22" s="166">
        <v>31559</v>
      </c>
      <c r="H22" s="166">
        <v>31490</v>
      </c>
      <c r="I22" s="167">
        <f t="shared" si="2"/>
        <v>-2.1863810640387893E-3</v>
      </c>
      <c r="J22" s="166">
        <f t="shared" si="3"/>
        <v>-69</v>
      </c>
      <c r="K22" s="167">
        <f t="shared" si="0"/>
        <v>7.7336975301531934E-3</v>
      </c>
      <c r="L22" s="167">
        <f>H22/H21</f>
        <v>0.98507836206087529</v>
      </c>
      <c r="M22" s="166">
        <v>220</v>
      </c>
      <c r="N22" s="166">
        <v>2289</v>
      </c>
      <c r="O22" s="166">
        <v>3143</v>
      </c>
      <c r="P22" s="166">
        <v>3673</v>
      </c>
      <c r="Q22" s="166">
        <v>3065</v>
      </c>
      <c r="R22" s="166">
        <v>3939</v>
      </c>
      <c r="S22" s="167">
        <f t="shared" si="4"/>
        <v>0.28515497553017943</v>
      </c>
      <c r="T22" s="166">
        <f t="shared" si="1"/>
        <v>874</v>
      </c>
      <c r="U22" s="167">
        <f t="shared" si="5"/>
        <v>8.6627767112109014E-3</v>
      </c>
      <c r="V22" s="167">
        <f>IFERROR(R22/R21,"-")</f>
        <v>0.9887048192771084</v>
      </c>
    </row>
    <row r="23" spans="2:22" x14ac:dyDescent="0.25">
      <c r="B23" s="123" t="s">
        <v>142</v>
      </c>
      <c r="C23" s="70">
        <v>0</v>
      </c>
      <c r="D23" s="70">
        <v>0</v>
      </c>
      <c r="E23" s="70">
        <v>0</v>
      </c>
      <c r="F23" s="70">
        <v>0</v>
      </c>
      <c r="G23" s="70">
        <v>0</v>
      </c>
      <c r="H23" s="70">
        <v>0</v>
      </c>
      <c r="I23" s="124" t="str">
        <f t="shared" si="2"/>
        <v>-</v>
      </c>
      <c r="J23" s="70">
        <f t="shared" si="3"/>
        <v>0</v>
      </c>
      <c r="K23" s="124">
        <f t="shared" si="0"/>
        <v>0</v>
      </c>
      <c r="L23" s="124">
        <f>H23/H21</f>
        <v>0</v>
      </c>
      <c r="M23" s="70">
        <v>0</v>
      </c>
      <c r="N23" s="70">
        <v>0</v>
      </c>
      <c r="O23" s="70">
        <v>0</v>
      </c>
      <c r="P23" s="70">
        <v>0</v>
      </c>
      <c r="Q23" s="70">
        <v>0</v>
      </c>
      <c r="R23" s="70">
        <v>0</v>
      </c>
      <c r="S23" s="124" t="str">
        <f t="shared" si="4"/>
        <v>-</v>
      </c>
      <c r="T23" s="70">
        <f t="shared" si="1"/>
        <v>0</v>
      </c>
      <c r="U23" s="124">
        <f t="shared" si="5"/>
        <v>0</v>
      </c>
      <c r="V23" s="124">
        <f>IFERROR(R23/R21,"-")</f>
        <v>0</v>
      </c>
    </row>
    <row r="24" spans="2:22" x14ac:dyDescent="0.25">
      <c r="B24" s="123" t="s">
        <v>144</v>
      </c>
      <c r="C24" s="70">
        <v>1275</v>
      </c>
      <c r="D24" s="70">
        <v>3463</v>
      </c>
      <c r="E24" s="70">
        <v>0</v>
      </c>
      <c r="F24" s="70">
        <v>0</v>
      </c>
      <c r="G24" s="70">
        <v>0</v>
      </c>
      <c r="H24" s="70">
        <v>0</v>
      </c>
      <c r="I24" s="124" t="str">
        <f t="shared" si="2"/>
        <v>-</v>
      </c>
      <c r="J24" s="70">
        <f t="shared" si="3"/>
        <v>0</v>
      </c>
      <c r="K24" s="124">
        <f t="shared" si="0"/>
        <v>0</v>
      </c>
      <c r="L24" s="124">
        <f>H24/H21</f>
        <v>0</v>
      </c>
      <c r="M24" s="70">
        <v>220</v>
      </c>
      <c r="N24" s="70">
        <v>0</v>
      </c>
      <c r="O24" s="70">
        <v>0</v>
      </c>
      <c r="P24" s="70">
        <v>0</v>
      </c>
      <c r="Q24" s="70">
        <v>0</v>
      </c>
      <c r="R24" s="70">
        <v>0</v>
      </c>
      <c r="S24" s="124" t="str">
        <f t="shared" si="4"/>
        <v>-</v>
      </c>
      <c r="T24" s="70">
        <f t="shared" si="1"/>
        <v>0</v>
      </c>
      <c r="U24" s="124">
        <f t="shared" si="5"/>
        <v>0</v>
      </c>
      <c r="V24" s="124">
        <f>IFERROR(R24/R21,"-")</f>
        <v>0</v>
      </c>
    </row>
    <row r="25" spans="2:22" ht="16.5" thickBot="1" x14ac:dyDescent="0.3">
      <c r="B25" s="168" t="s">
        <v>65</v>
      </c>
      <c r="C25" s="169">
        <v>1878</v>
      </c>
      <c r="D25" s="169">
        <v>0</v>
      </c>
      <c r="E25" s="169">
        <v>0</v>
      </c>
      <c r="F25" s="169">
        <v>0</v>
      </c>
      <c r="G25" s="169">
        <v>0</v>
      </c>
      <c r="H25" s="169">
        <v>0</v>
      </c>
      <c r="I25" s="170" t="str">
        <f t="shared" si="2"/>
        <v>-</v>
      </c>
      <c r="J25" s="169">
        <f t="shared" si="3"/>
        <v>0</v>
      </c>
      <c r="K25" s="170">
        <f t="shared" si="0"/>
        <v>0</v>
      </c>
      <c r="L25" s="170">
        <f>H25/H21</f>
        <v>0</v>
      </c>
      <c r="M25" s="169">
        <v>0</v>
      </c>
      <c r="N25" s="169">
        <v>0</v>
      </c>
      <c r="O25" s="169">
        <v>0</v>
      </c>
      <c r="P25" s="169">
        <v>0</v>
      </c>
      <c r="Q25" s="169">
        <v>0</v>
      </c>
      <c r="R25" s="169">
        <v>0</v>
      </c>
      <c r="S25" s="170" t="str">
        <f t="shared" si="4"/>
        <v>-</v>
      </c>
      <c r="T25" s="169">
        <f t="shared" si="1"/>
        <v>0</v>
      </c>
      <c r="U25" s="170">
        <f t="shared" si="5"/>
        <v>0</v>
      </c>
      <c r="V25" s="170">
        <f>IFERROR(R25/R21,"-")</f>
        <v>0</v>
      </c>
    </row>
    <row r="26" spans="2:22" ht="15.75" x14ac:dyDescent="0.25">
      <c r="B26" s="161" t="s">
        <v>49</v>
      </c>
      <c r="C26" s="162">
        <v>36944</v>
      </c>
      <c r="D26" s="162">
        <v>34184</v>
      </c>
      <c r="E26" s="162">
        <v>117560</v>
      </c>
      <c r="F26" s="162">
        <v>137595</v>
      </c>
      <c r="G26" s="162">
        <v>175857</v>
      </c>
      <c r="H26" s="162">
        <v>141765</v>
      </c>
      <c r="I26" s="163">
        <f t="shared" si="2"/>
        <v>-0.19386205837697679</v>
      </c>
      <c r="J26" s="162">
        <f t="shared" si="3"/>
        <v>-34092</v>
      </c>
      <c r="K26" s="163">
        <f t="shared" si="0"/>
        <v>3.4816374416073909E-2</v>
      </c>
      <c r="L26" s="164">
        <f>H26/H26</f>
        <v>1</v>
      </c>
      <c r="M26" s="162">
        <v>6236</v>
      </c>
      <c r="N26" s="162">
        <v>8360</v>
      </c>
      <c r="O26" s="162">
        <v>10763</v>
      </c>
      <c r="P26" s="162">
        <v>16386</v>
      </c>
      <c r="Q26" s="162">
        <v>17100</v>
      </c>
      <c r="R26" s="162">
        <v>13666</v>
      </c>
      <c r="S26" s="163">
        <f t="shared" si="4"/>
        <v>-0.20081871345029245</v>
      </c>
      <c r="T26" s="162">
        <f t="shared" si="1"/>
        <v>-3434</v>
      </c>
      <c r="U26" s="163">
        <f t="shared" si="5"/>
        <v>3.8646408709475041E-2</v>
      </c>
      <c r="V26" s="164">
        <f>IFERROR(R26/R26,"-")</f>
        <v>1</v>
      </c>
    </row>
    <row r="27" spans="2:22" ht="15.75" x14ac:dyDescent="0.25">
      <c r="B27" s="165" t="s">
        <v>62</v>
      </c>
      <c r="C27" s="166">
        <v>36134</v>
      </c>
      <c r="D27" s="166">
        <v>32734</v>
      </c>
      <c r="E27" s="166">
        <v>110290</v>
      </c>
      <c r="F27" s="166">
        <v>131067</v>
      </c>
      <c r="G27" s="166">
        <v>146251</v>
      </c>
      <c r="H27" s="166">
        <v>113680</v>
      </c>
      <c r="I27" s="167">
        <f t="shared" si="2"/>
        <v>-0.22270616953046474</v>
      </c>
      <c r="J27" s="166">
        <f t="shared" si="3"/>
        <v>-32571</v>
      </c>
      <c r="K27" s="167">
        <f t="shared" si="0"/>
        <v>2.7918918235243409E-2</v>
      </c>
      <c r="L27" s="167">
        <f>H27/H26</f>
        <v>0.80189045250943458</v>
      </c>
      <c r="M27" s="166">
        <v>6206</v>
      </c>
      <c r="N27" s="166">
        <v>7499</v>
      </c>
      <c r="O27" s="166">
        <v>10282</v>
      </c>
      <c r="P27" s="166">
        <v>15797</v>
      </c>
      <c r="Q27" s="166">
        <v>14091</v>
      </c>
      <c r="R27" s="166">
        <v>10779</v>
      </c>
      <c r="S27" s="167">
        <f t="shared" si="4"/>
        <v>-0.23504364487971041</v>
      </c>
      <c r="T27" s="166">
        <f t="shared" si="1"/>
        <v>-3312</v>
      </c>
      <c r="U27" s="167">
        <f t="shared" si="5"/>
        <v>3.7257251213449118E-2</v>
      </c>
      <c r="V27" s="167">
        <f>IFERROR(R27/R26,"-")</f>
        <v>0.78874579247768184</v>
      </c>
    </row>
    <row r="28" spans="2:22" x14ac:dyDescent="0.25">
      <c r="B28" s="123" t="s">
        <v>142</v>
      </c>
      <c r="C28" s="70">
        <v>27988</v>
      </c>
      <c r="D28" s="70">
        <v>32734</v>
      </c>
      <c r="E28" s="70">
        <v>0</v>
      </c>
      <c r="F28" s="70">
        <v>69914</v>
      </c>
      <c r="G28" s="70">
        <v>0</v>
      </c>
      <c r="H28" s="70">
        <v>0</v>
      </c>
      <c r="I28" s="124" t="str">
        <f t="shared" si="2"/>
        <v>-</v>
      </c>
      <c r="J28" s="70">
        <f t="shared" si="3"/>
        <v>0</v>
      </c>
      <c r="K28" s="124">
        <f t="shared" si="0"/>
        <v>0</v>
      </c>
      <c r="L28" s="124">
        <f>H28/H26</f>
        <v>0</v>
      </c>
      <c r="M28" s="70">
        <v>0</v>
      </c>
      <c r="N28" s="70">
        <v>7499</v>
      </c>
      <c r="O28" s="70">
        <v>0</v>
      </c>
      <c r="P28" s="70">
        <v>15797</v>
      </c>
      <c r="Q28" s="70">
        <v>0</v>
      </c>
      <c r="R28" s="70">
        <v>0</v>
      </c>
      <c r="S28" s="124" t="str">
        <f t="shared" si="4"/>
        <v>-</v>
      </c>
      <c r="T28" s="70">
        <f t="shared" si="1"/>
        <v>0</v>
      </c>
      <c r="U28" s="124">
        <f t="shared" si="5"/>
        <v>3.7257251213449118E-2</v>
      </c>
      <c r="V28" s="124">
        <f>IFERROR(R28/R26,"-")</f>
        <v>0</v>
      </c>
    </row>
    <row r="29" spans="2:22" ht="15.75" thickBot="1" x14ac:dyDescent="0.3">
      <c r="B29" s="123" t="s">
        <v>144</v>
      </c>
      <c r="C29" s="70">
        <v>1940</v>
      </c>
      <c r="D29" s="70">
        <v>0</v>
      </c>
      <c r="E29" s="70">
        <v>0</v>
      </c>
      <c r="F29" s="70">
        <v>0</v>
      </c>
      <c r="G29" s="70">
        <v>0</v>
      </c>
      <c r="H29" s="70">
        <v>0</v>
      </c>
      <c r="I29" s="124" t="str">
        <f t="shared" si="2"/>
        <v>-</v>
      </c>
      <c r="J29" s="70">
        <f t="shared" si="3"/>
        <v>0</v>
      </c>
      <c r="K29" s="124">
        <f t="shared" si="0"/>
        <v>0</v>
      </c>
      <c r="L29" s="124">
        <f>H29/H26</f>
        <v>0</v>
      </c>
      <c r="M29" s="70">
        <v>0</v>
      </c>
      <c r="N29" s="70">
        <v>0</v>
      </c>
      <c r="O29" s="70">
        <v>0</v>
      </c>
      <c r="P29" s="70">
        <v>0</v>
      </c>
      <c r="Q29" s="70">
        <v>0</v>
      </c>
      <c r="R29" s="70">
        <v>0</v>
      </c>
      <c r="S29" s="124" t="str">
        <f t="shared" si="4"/>
        <v>-</v>
      </c>
      <c r="T29" s="70">
        <f t="shared" si="1"/>
        <v>0</v>
      </c>
      <c r="U29" s="124">
        <f t="shared" si="5"/>
        <v>0</v>
      </c>
      <c r="V29" s="124">
        <f>IFERROR(R29/R26,"-")</f>
        <v>0</v>
      </c>
    </row>
    <row r="30" spans="2:22" ht="15.75" x14ac:dyDescent="0.25">
      <c r="B30" s="161" t="s">
        <v>50</v>
      </c>
      <c r="C30" s="162">
        <v>181508</v>
      </c>
      <c r="D30" s="162">
        <v>210211</v>
      </c>
      <c r="E30" s="162">
        <v>523202</v>
      </c>
      <c r="F30" s="162">
        <v>598329</v>
      </c>
      <c r="G30" s="162">
        <v>691297</v>
      </c>
      <c r="H30" s="162">
        <v>711805</v>
      </c>
      <c r="I30" s="163">
        <f t="shared" si="2"/>
        <v>2.9665975694961766E-2</v>
      </c>
      <c r="J30" s="162">
        <f t="shared" si="3"/>
        <v>20508</v>
      </c>
      <c r="K30" s="163">
        <f t="shared" si="0"/>
        <v>0.17481373675613507</v>
      </c>
      <c r="L30" s="164">
        <f>H30/H30</f>
        <v>1</v>
      </c>
      <c r="M30" s="162">
        <v>17561</v>
      </c>
      <c r="N30" s="162">
        <v>48518</v>
      </c>
      <c r="O30" s="162">
        <v>62173</v>
      </c>
      <c r="P30" s="162">
        <v>71851</v>
      </c>
      <c r="Q30" s="162">
        <v>77584</v>
      </c>
      <c r="R30" s="162">
        <v>79102</v>
      </c>
      <c r="S30" s="163">
        <f t="shared" si="4"/>
        <v>1.9565889874200826E-2</v>
      </c>
      <c r="T30" s="162">
        <f t="shared" si="1"/>
        <v>1518</v>
      </c>
      <c r="U30" s="163">
        <f t="shared" si="5"/>
        <v>0.1694607050033255</v>
      </c>
      <c r="V30" s="164">
        <f>IFERROR(R30/R30,"-")</f>
        <v>1</v>
      </c>
    </row>
    <row r="31" spans="2:22" ht="15.75" x14ac:dyDescent="0.25">
      <c r="B31" s="165" t="s">
        <v>62</v>
      </c>
      <c r="C31" s="166">
        <v>147476</v>
      </c>
      <c r="D31" s="166">
        <v>167563</v>
      </c>
      <c r="E31" s="166">
        <v>423670</v>
      </c>
      <c r="F31" s="166">
        <v>487148</v>
      </c>
      <c r="G31" s="166">
        <v>557192</v>
      </c>
      <c r="H31" s="166">
        <v>564085</v>
      </c>
      <c r="I31" s="167">
        <f t="shared" si="2"/>
        <v>1.2370960099929551E-2</v>
      </c>
      <c r="J31" s="166">
        <f t="shared" si="3"/>
        <v>6893</v>
      </c>
      <c r="K31" s="167">
        <f t="shared" si="0"/>
        <v>0.13853486094939549</v>
      </c>
      <c r="L31" s="167">
        <f>H31/H30</f>
        <v>0.7924712526604899</v>
      </c>
      <c r="M31" s="166">
        <v>13941</v>
      </c>
      <c r="N31" s="166">
        <v>40728</v>
      </c>
      <c r="O31" s="166">
        <v>51986</v>
      </c>
      <c r="P31" s="166">
        <v>58014</v>
      </c>
      <c r="Q31" s="166">
        <v>60705</v>
      </c>
      <c r="R31" s="166">
        <v>62523</v>
      </c>
      <c r="S31" s="167">
        <f t="shared" si="4"/>
        <v>2.9948109710896897E-2</v>
      </c>
      <c r="T31" s="166">
        <f t="shared" si="1"/>
        <v>1818</v>
      </c>
      <c r="U31" s="167">
        <f t="shared" si="5"/>
        <v>0.13682611710432596</v>
      </c>
      <c r="V31" s="167">
        <f>IFERROR(R31/R30,"-")</f>
        <v>0.79040985057267832</v>
      </c>
    </row>
    <row r="32" spans="2:22" x14ac:dyDescent="0.25">
      <c r="B32" s="123" t="s">
        <v>142</v>
      </c>
      <c r="C32" s="70">
        <v>120222</v>
      </c>
      <c r="D32" s="70">
        <v>124348</v>
      </c>
      <c r="E32" s="70">
        <v>348211</v>
      </c>
      <c r="F32" s="70">
        <v>409555</v>
      </c>
      <c r="G32" s="70">
        <v>470041</v>
      </c>
      <c r="H32" s="70">
        <v>467536</v>
      </c>
      <c r="I32" s="124">
        <f t="shared" si="2"/>
        <v>-5.3293223357111508E-3</v>
      </c>
      <c r="J32" s="70">
        <f t="shared" si="3"/>
        <v>-2505</v>
      </c>
      <c r="K32" s="124">
        <f t="shared" si="0"/>
        <v>0.11482318223111157</v>
      </c>
      <c r="L32" s="124">
        <f>H32/H30</f>
        <v>0.65683157606366915</v>
      </c>
      <c r="M32" s="70">
        <v>11726</v>
      </c>
      <c r="N32" s="70">
        <v>31875</v>
      </c>
      <c r="O32" s="70">
        <v>44396</v>
      </c>
      <c r="P32" s="70">
        <v>49248</v>
      </c>
      <c r="Q32" s="70">
        <v>51449</v>
      </c>
      <c r="R32" s="70">
        <v>51820</v>
      </c>
      <c r="S32" s="124">
        <f t="shared" si="4"/>
        <v>7.2110245097085635E-3</v>
      </c>
      <c r="T32" s="70">
        <f t="shared" si="1"/>
        <v>371</v>
      </c>
      <c r="U32" s="124">
        <f t="shared" si="5"/>
        <v>0.11615149128061925</v>
      </c>
      <c r="V32" s="124">
        <f>IFERROR(R32/R30,"-")</f>
        <v>0.6551035372051276</v>
      </c>
    </row>
    <row r="33" spans="2:22" x14ac:dyDescent="0.25">
      <c r="B33" s="123" t="s">
        <v>144</v>
      </c>
      <c r="C33" s="70">
        <v>27254</v>
      </c>
      <c r="D33" s="70">
        <v>43215</v>
      </c>
      <c r="E33" s="70">
        <v>75459</v>
      </c>
      <c r="F33" s="70">
        <v>77593</v>
      </c>
      <c r="G33" s="70">
        <v>87151</v>
      </c>
      <c r="H33" s="70">
        <v>96549</v>
      </c>
      <c r="I33" s="124">
        <f t="shared" si="2"/>
        <v>0.10783582517699175</v>
      </c>
      <c r="J33" s="70">
        <f t="shared" si="3"/>
        <v>9398</v>
      </c>
      <c r="K33" s="124">
        <f t="shared" si="0"/>
        <v>2.3711678718283918E-2</v>
      </c>
      <c r="L33" s="124">
        <f>H33/H30</f>
        <v>0.13563967659682075</v>
      </c>
      <c r="M33" s="70">
        <v>2215</v>
      </c>
      <c r="N33" s="70">
        <v>8853</v>
      </c>
      <c r="O33" s="70">
        <v>7590</v>
      </c>
      <c r="P33" s="70">
        <v>8766</v>
      </c>
      <c r="Q33" s="70">
        <v>9256</v>
      </c>
      <c r="R33" s="70">
        <v>10703</v>
      </c>
      <c r="S33" s="124">
        <f t="shared" si="4"/>
        <v>0.15633102852203984</v>
      </c>
      <c r="T33" s="70">
        <f t="shared" si="1"/>
        <v>1447</v>
      </c>
      <c r="U33" s="124">
        <f t="shared" si="5"/>
        <v>2.0674625823706716E-2</v>
      </c>
      <c r="V33" s="124">
        <f>IFERROR(R33/R30,"-")</f>
        <v>0.13530631336755075</v>
      </c>
    </row>
    <row r="34" spans="2:22" ht="16.5" thickBot="1" x14ac:dyDescent="0.3">
      <c r="B34" s="168" t="s">
        <v>65</v>
      </c>
      <c r="C34" s="169">
        <v>34032</v>
      </c>
      <c r="D34" s="169">
        <v>42648</v>
      </c>
      <c r="E34" s="169">
        <v>99532</v>
      </c>
      <c r="F34" s="169">
        <v>111181</v>
      </c>
      <c r="G34" s="169">
        <v>134105</v>
      </c>
      <c r="H34" s="169">
        <v>147720</v>
      </c>
      <c r="I34" s="170">
        <f t="shared" si="2"/>
        <v>0.10152492449945938</v>
      </c>
      <c r="J34" s="169">
        <f t="shared" si="3"/>
        <v>13615</v>
      </c>
      <c r="K34" s="170">
        <f t="shared" si="0"/>
        <v>3.6278875806739587E-2</v>
      </c>
      <c r="L34" s="170">
        <f>H34/H30</f>
        <v>0.20752874733951013</v>
      </c>
      <c r="M34" s="169">
        <v>3620</v>
      </c>
      <c r="N34" s="169">
        <v>7790</v>
      </c>
      <c r="O34" s="169">
        <v>10187</v>
      </c>
      <c r="P34" s="169">
        <v>13837</v>
      </c>
      <c r="Q34" s="169">
        <v>16879</v>
      </c>
      <c r="R34" s="169">
        <v>16579</v>
      </c>
      <c r="S34" s="170">
        <f t="shared" si="4"/>
        <v>-1.7773564784643647E-2</v>
      </c>
      <c r="T34" s="169">
        <f t="shared" si="1"/>
        <v>-300</v>
      </c>
      <c r="U34" s="170">
        <f t="shared" si="5"/>
        <v>3.263458789899952E-2</v>
      </c>
      <c r="V34" s="170">
        <f>IFERROR(R34/R30,"-")</f>
        <v>0.20959014942732168</v>
      </c>
    </row>
    <row r="35" spans="2:22" ht="15.75" x14ac:dyDescent="0.25">
      <c r="B35" s="161" t="s">
        <v>51</v>
      </c>
      <c r="C35" s="162">
        <v>17295</v>
      </c>
      <c r="D35" s="162">
        <v>21073</v>
      </c>
      <c r="E35" s="162">
        <v>37456</v>
      </c>
      <c r="F35" s="162">
        <v>44189</v>
      </c>
      <c r="G35" s="162">
        <v>41777</v>
      </c>
      <c r="H35" s="162">
        <v>40413</v>
      </c>
      <c r="I35" s="163">
        <f t="shared" si="2"/>
        <v>-3.2649544007468223E-2</v>
      </c>
      <c r="J35" s="162">
        <f t="shared" si="3"/>
        <v>-1364</v>
      </c>
      <c r="K35" s="163">
        <f t="shared" si="0"/>
        <v>9.9251164905074934E-3</v>
      </c>
      <c r="L35" s="164">
        <f>H35/H35</f>
        <v>1</v>
      </c>
      <c r="M35" s="162">
        <v>1764</v>
      </c>
      <c r="N35" s="162">
        <v>3914</v>
      </c>
      <c r="O35" s="162">
        <v>4578</v>
      </c>
      <c r="P35" s="162">
        <v>4521</v>
      </c>
      <c r="Q35" s="162">
        <v>5087</v>
      </c>
      <c r="R35" s="162">
        <v>4387</v>
      </c>
      <c r="S35" s="163">
        <f t="shared" si="4"/>
        <v>-0.13760566149007269</v>
      </c>
      <c r="T35" s="162">
        <f t="shared" si="1"/>
        <v>-700</v>
      </c>
      <c r="U35" s="163">
        <f t="shared" si="5"/>
        <v>1.0662786145217667E-2</v>
      </c>
      <c r="V35" s="164">
        <f>IFERROR(R35/R35,"-")</f>
        <v>1</v>
      </c>
    </row>
    <row r="36" spans="2:22" ht="15.75" x14ac:dyDescent="0.25">
      <c r="B36" s="165" t="s">
        <v>62</v>
      </c>
      <c r="C36" s="166">
        <v>17295</v>
      </c>
      <c r="D36" s="166">
        <v>21073</v>
      </c>
      <c r="E36" s="166">
        <v>37456</v>
      </c>
      <c r="F36" s="166">
        <v>44189</v>
      </c>
      <c r="G36" s="166">
        <v>41777</v>
      </c>
      <c r="H36" s="166">
        <v>40413</v>
      </c>
      <c r="I36" s="167">
        <f t="shared" si="2"/>
        <v>-3.2649544007468223E-2</v>
      </c>
      <c r="J36" s="166">
        <f t="shared" si="3"/>
        <v>-1364</v>
      </c>
      <c r="K36" s="167">
        <f t="shared" si="0"/>
        <v>9.9251164905074934E-3</v>
      </c>
      <c r="L36" s="167">
        <f>H36/H35</f>
        <v>1</v>
      </c>
      <c r="M36" s="166">
        <v>1764</v>
      </c>
      <c r="N36" s="166">
        <v>3914</v>
      </c>
      <c r="O36" s="166">
        <v>4578</v>
      </c>
      <c r="P36" s="166">
        <v>4521</v>
      </c>
      <c r="Q36" s="166">
        <v>5087</v>
      </c>
      <c r="R36" s="166">
        <v>4387</v>
      </c>
      <c r="S36" s="167">
        <f t="shared" si="4"/>
        <v>-0.13760566149007269</v>
      </c>
      <c r="T36" s="166">
        <f t="shared" si="1"/>
        <v>-700</v>
      </c>
      <c r="U36" s="167">
        <f t="shared" si="5"/>
        <v>1.0662786145217667E-2</v>
      </c>
      <c r="V36" s="167">
        <f>IFERROR(R36/R35,"-")</f>
        <v>1</v>
      </c>
    </row>
    <row r="37" spans="2:22" x14ac:dyDescent="0.25">
      <c r="B37" s="123" t="s">
        <v>142</v>
      </c>
      <c r="C37" s="70">
        <v>8693</v>
      </c>
      <c r="D37" s="70">
        <v>0</v>
      </c>
      <c r="E37" s="70">
        <v>22120</v>
      </c>
      <c r="F37" s="70">
        <v>30713</v>
      </c>
      <c r="G37" s="70">
        <v>36372</v>
      </c>
      <c r="H37" s="70">
        <v>34480</v>
      </c>
      <c r="I37" s="124">
        <f t="shared" si="2"/>
        <v>-5.201803585175413E-2</v>
      </c>
      <c r="J37" s="70">
        <f t="shared" si="3"/>
        <v>-1892</v>
      </c>
      <c r="K37" s="124">
        <f t="shared" si="0"/>
        <v>8.4680181276494786E-3</v>
      </c>
      <c r="L37" s="124">
        <f>H37/H35</f>
        <v>0.85319080493900479</v>
      </c>
      <c r="M37" s="70">
        <v>0</v>
      </c>
      <c r="N37" s="70">
        <v>0</v>
      </c>
      <c r="O37" s="70">
        <v>4017</v>
      </c>
      <c r="P37" s="70">
        <v>4039</v>
      </c>
      <c r="Q37" s="70">
        <v>4491</v>
      </c>
      <c r="R37" s="70">
        <v>3777</v>
      </c>
      <c r="S37" s="124">
        <f t="shared" si="4"/>
        <v>-0.15898463593854373</v>
      </c>
      <c r="T37" s="70">
        <f t="shared" si="1"/>
        <v>-714</v>
      </c>
      <c r="U37" s="124">
        <f t="shared" si="5"/>
        <v>9.5259883301336331E-3</v>
      </c>
      <c r="V37" s="124">
        <f>IFERROR(R37/R35,"-")</f>
        <v>0.86095281513562805</v>
      </c>
    </row>
    <row r="38" spans="2:22" ht="15.75" thickBot="1" x14ac:dyDescent="0.3">
      <c r="B38" s="123" t="s">
        <v>144</v>
      </c>
      <c r="C38" s="70">
        <v>4061</v>
      </c>
      <c r="D38" s="70">
        <v>0</v>
      </c>
      <c r="E38" s="70">
        <v>2892</v>
      </c>
      <c r="F38" s="70">
        <v>4491</v>
      </c>
      <c r="G38" s="70">
        <v>5405</v>
      </c>
      <c r="H38" s="70">
        <v>5933</v>
      </c>
      <c r="I38" s="124">
        <f t="shared" si="2"/>
        <v>9.7687326549491305E-2</v>
      </c>
      <c r="J38" s="70">
        <f t="shared" si="3"/>
        <v>528</v>
      </c>
      <c r="K38" s="124">
        <f t="shared" si="0"/>
        <v>1.4570983628580151E-3</v>
      </c>
      <c r="L38" s="124">
        <f>H38/H35</f>
        <v>0.14680919506099521</v>
      </c>
      <c r="M38" s="70">
        <v>0</v>
      </c>
      <c r="N38" s="70">
        <v>0</v>
      </c>
      <c r="O38" s="70">
        <v>561</v>
      </c>
      <c r="P38" s="70">
        <v>482</v>
      </c>
      <c r="Q38" s="70">
        <v>596</v>
      </c>
      <c r="R38" s="70">
        <v>610</v>
      </c>
      <c r="S38" s="124">
        <f t="shared" si="4"/>
        <v>2.3489932885905951E-2</v>
      </c>
      <c r="T38" s="70">
        <f t="shared" si="1"/>
        <v>14</v>
      </c>
      <c r="U38" s="124">
        <f t="shared" si="5"/>
        <v>1.1367978150840334E-3</v>
      </c>
      <c r="V38" s="124">
        <f>IFERROR(R38/R35,"-")</f>
        <v>0.13904718486437201</v>
      </c>
    </row>
    <row r="39" spans="2:22" ht="15.75" x14ac:dyDescent="0.25">
      <c r="B39" s="161" t="s">
        <v>52</v>
      </c>
      <c r="C39" s="162">
        <v>59721</v>
      </c>
      <c r="D39" s="162">
        <v>69853</v>
      </c>
      <c r="E39" s="162">
        <v>146094</v>
      </c>
      <c r="F39" s="162">
        <v>187734</v>
      </c>
      <c r="G39" s="162">
        <v>181355</v>
      </c>
      <c r="H39" s="162">
        <v>192018</v>
      </c>
      <c r="I39" s="163">
        <f t="shared" si="2"/>
        <v>5.8796283532298599E-2</v>
      </c>
      <c r="J39" s="162">
        <f t="shared" si="3"/>
        <v>10663</v>
      </c>
      <c r="K39" s="163">
        <f t="shared" si="0"/>
        <v>4.7158117889646106E-2</v>
      </c>
      <c r="L39" s="164">
        <f>H39/H39</f>
        <v>1</v>
      </c>
      <c r="M39" s="162">
        <v>11710</v>
      </c>
      <c r="N39" s="162">
        <v>13048</v>
      </c>
      <c r="O39" s="162">
        <v>17425</v>
      </c>
      <c r="P39" s="162">
        <v>18863</v>
      </c>
      <c r="Q39" s="162">
        <v>20469</v>
      </c>
      <c r="R39" s="162">
        <v>18177</v>
      </c>
      <c r="S39" s="163">
        <f t="shared" si="4"/>
        <v>-0.11197420489520737</v>
      </c>
      <c r="T39" s="162">
        <f t="shared" si="1"/>
        <v>-2292</v>
      </c>
      <c r="U39" s="163">
        <f t="shared" si="5"/>
        <v>4.4488417398195278E-2</v>
      </c>
      <c r="V39" s="164">
        <f>IFERROR(R39/R39,"-")</f>
        <v>1</v>
      </c>
    </row>
    <row r="40" spans="2:22" ht="15.75" x14ac:dyDescent="0.25">
      <c r="B40" s="165" t="s">
        <v>62</v>
      </c>
      <c r="C40" s="166">
        <v>45963</v>
      </c>
      <c r="D40" s="166">
        <v>62554</v>
      </c>
      <c r="E40" s="166">
        <v>124607</v>
      </c>
      <c r="F40" s="166">
        <v>163429</v>
      </c>
      <c r="G40" s="166">
        <v>157299</v>
      </c>
      <c r="H40" s="166">
        <v>166857</v>
      </c>
      <c r="I40" s="167">
        <f t="shared" si="2"/>
        <v>6.0763259779146761E-2</v>
      </c>
      <c r="J40" s="166">
        <f t="shared" si="3"/>
        <v>9558</v>
      </c>
      <c r="K40" s="167">
        <f t="shared" si="0"/>
        <v>4.0978773222888898E-2</v>
      </c>
      <c r="L40" s="167">
        <f>H40/H39</f>
        <v>0.86896540949286005</v>
      </c>
      <c r="M40" s="166">
        <v>11710</v>
      </c>
      <c r="N40" s="166">
        <v>11302</v>
      </c>
      <c r="O40" s="166">
        <v>14794</v>
      </c>
      <c r="P40" s="166">
        <v>16071</v>
      </c>
      <c r="Q40" s="166">
        <v>17837</v>
      </c>
      <c r="R40" s="166">
        <v>15779</v>
      </c>
      <c r="S40" s="167">
        <f t="shared" si="4"/>
        <v>-0.11537814654930767</v>
      </c>
      <c r="T40" s="166">
        <f t="shared" si="1"/>
        <v>-2058</v>
      </c>
      <c r="U40" s="167">
        <f t="shared" si="5"/>
        <v>3.7903480676795644E-2</v>
      </c>
      <c r="V40" s="167">
        <f>IFERROR(R40/R39,"-")</f>
        <v>0.86807503988556967</v>
      </c>
    </row>
    <row r="41" spans="2:22" x14ac:dyDescent="0.25">
      <c r="B41" s="123" t="s">
        <v>142</v>
      </c>
      <c r="C41" s="70">
        <v>22627</v>
      </c>
      <c r="D41" s="70">
        <v>0</v>
      </c>
      <c r="E41" s="70">
        <v>0</v>
      </c>
      <c r="F41" s="70">
        <v>0</v>
      </c>
      <c r="G41" s="70">
        <v>0</v>
      </c>
      <c r="H41" s="70">
        <v>0</v>
      </c>
      <c r="I41" s="124" t="str">
        <f t="shared" si="2"/>
        <v>-</v>
      </c>
      <c r="J41" s="70">
        <f t="shared" si="3"/>
        <v>0</v>
      </c>
      <c r="K41" s="124">
        <f t="shared" si="0"/>
        <v>0</v>
      </c>
      <c r="L41" s="124">
        <f>H41/H39</f>
        <v>0</v>
      </c>
      <c r="M41" s="70">
        <v>0</v>
      </c>
      <c r="N41" s="70">
        <v>0</v>
      </c>
      <c r="O41" s="70">
        <v>0</v>
      </c>
      <c r="P41" s="70">
        <v>0</v>
      </c>
      <c r="Q41" s="70">
        <v>0</v>
      </c>
      <c r="R41" s="70">
        <v>0</v>
      </c>
      <c r="S41" s="124" t="str">
        <f t="shared" si="4"/>
        <v>-</v>
      </c>
      <c r="T41" s="70">
        <f t="shared" si="1"/>
        <v>0</v>
      </c>
      <c r="U41" s="124">
        <f t="shared" si="5"/>
        <v>0</v>
      </c>
      <c r="V41" s="124">
        <f>IFERROR(R41/R39,"-")</f>
        <v>0</v>
      </c>
    </row>
    <row r="42" spans="2:22" x14ac:dyDescent="0.25">
      <c r="B42" s="123" t="s">
        <v>144</v>
      </c>
      <c r="C42" s="70">
        <v>0</v>
      </c>
      <c r="D42" s="70">
        <v>0</v>
      </c>
      <c r="E42" s="70">
        <v>0</v>
      </c>
      <c r="F42" s="70">
        <v>0</v>
      </c>
      <c r="G42" s="70">
        <v>0</v>
      </c>
      <c r="H42" s="70">
        <v>0</v>
      </c>
      <c r="I42" s="124" t="str">
        <f t="shared" si="2"/>
        <v>-</v>
      </c>
      <c r="J42" s="70">
        <f t="shared" si="3"/>
        <v>0</v>
      </c>
      <c r="K42" s="124">
        <f t="shared" si="0"/>
        <v>0</v>
      </c>
      <c r="L42" s="124">
        <f>H42/H39</f>
        <v>0</v>
      </c>
      <c r="M42" s="70">
        <v>0</v>
      </c>
      <c r="N42" s="70">
        <v>0</v>
      </c>
      <c r="O42" s="70">
        <v>0</v>
      </c>
      <c r="P42" s="70">
        <v>0</v>
      </c>
      <c r="Q42" s="70">
        <v>0</v>
      </c>
      <c r="R42" s="70">
        <v>0</v>
      </c>
      <c r="S42" s="124" t="str">
        <f t="shared" si="4"/>
        <v>-</v>
      </c>
      <c r="T42" s="70">
        <f t="shared" si="1"/>
        <v>0</v>
      </c>
      <c r="U42" s="124">
        <f t="shared" si="5"/>
        <v>0</v>
      </c>
      <c r="V42" s="124">
        <f>IFERROR(R42/R39,"-")</f>
        <v>0</v>
      </c>
    </row>
    <row r="43" spans="2:22" ht="16.5" thickBot="1" x14ac:dyDescent="0.3">
      <c r="B43" s="168" t="s">
        <v>65</v>
      </c>
      <c r="C43" s="169">
        <v>13758</v>
      </c>
      <c r="D43" s="169">
        <v>5374</v>
      </c>
      <c r="E43" s="169">
        <v>21487</v>
      </c>
      <c r="F43" s="169">
        <v>24305</v>
      </c>
      <c r="G43" s="169">
        <v>24056</v>
      </c>
      <c r="H43" s="169">
        <v>25161</v>
      </c>
      <c r="I43" s="170">
        <f t="shared" si="2"/>
        <v>4.5934486198869307E-2</v>
      </c>
      <c r="J43" s="169">
        <f t="shared" si="3"/>
        <v>1105</v>
      </c>
      <c r="K43" s="170">
        <f t="shared" si="0"/>
        <v>6.1793446667572083E-3</v>
      </c>
      <c r="L43" s="170">
        <f>H43/H39</f>
        <v>0.13103459050713995</v>
      </c>
      <c r="M43" s="169">
        <v>0</v>
      </c>
      <c r="N43" s="169">
        <v>1746</v>
      </c>
      <c r="O43" s="169">
        <v>2631</v>
      </c>
      <c r="P43" s="169">
        <v>2792</v>
      </c>
      <c r="Q43" s="169">
        <v>2632</v>
      </c>
      <c r="R43" s="169">
        <v>2398</v>
      </c>
      <c r="S43" s="170">
        <f t="shared" si="4"/>
        <v>-8.8905775075987847E-2</v>
      </c>
      <c r="T43" s="169">
        <f t="shared" si="1"/>
        <v>-234</v>
      </c>
      <c r="U43" s="170">
        <f t="shared" si="5"/>
        <v>6.5849367213996288E-3</v>
      </c>
      <c r="V43" s="170">
        <f>IFERROR(R43/R39,"-")</f>
        <v>0.13192496011443033</v>
      </c>
    </row>
    <row r="44" spans="2:22" ht="15.75" x14ac:dyDescent="0.25">
      <c r="B44" s="161" t="s">
        <v>53</v>
      </c>
      <c r="C44" s="162">
        <v>67052</v>
      </c>
      <c r="D44" s="162">
        <v>103599</v>
      </c>
      <c r="E44" s="162">
        <v>157983</v>
      </c>
      <c r="F44" s="162">
        <v>174312</v>
      </c>
      <c r="G44" s="162">
        <v>181820</v>
      </c>
      <c r="H44" s="162">
        <v>203413</v>
      </c>
      <c r="I44" s="163">
        <f t="shared" si="2"/>
        <v>0.11876031239687612</v>
      </c>
      <c r="J44" s="162">
        <f t="shared" si="3"/>
        <v>21593</v>
      </c>
      <c r="K44" s="163">
        <f t="shared" si="0"/>
        <v>4.995664070184349E-2</v>
      </c>
      <c r="L44" s="164">
        <f>H44/H44</f>
        <v>1</v>
      </c>
      <c r="M44" s="162">
        <v>7423</v>
      </c>
      <c r="N44" s="162">
        <v>16473</v>
      </c>
      <c r="O44" s="162">
        <v>19959</v>
      </c>
      <c r="P44" s="162">
        <v>15933</v>
      </c>
      <c r="Q44" s="162">
        <v>19577</v>
      </c>
      <c r="R44" s="162">
        <v>21810</v>
      </c>
      <c r="S44" s="163">
        <f t="shared" si="4"/>
        <v>0.11406242018695401</v>
      </c>
      <c r="T44" s="162">
        <f t="shared" si="1"/>
        <v>2233</v>
      </c>
      <c r="U44" s="163">
        <f t="shared" si="5"/>
        <v>3.7578007443431337E-2</v>
      </c>
      <c r="V44" s="164">
        <f>IFERROR(R44/R44,"-")</f>
        <v>1</v>
      </c>
    </row>
    <row r="45" spans="2:22" ht="15.75" x14ac:dyDescent="0.25">
      <c r="B45" s="165" t="s">
        <v>62</v>
      </c>
      <c r="C45" s="166">
        <v>67052</v>
      </c>
      <c r="D45" s="166">
        <v>103599</v>
      </c>
      <c r="E45" s="166">
        <v>157983</v>
      </c>
      <c r="F45" s="166">
        <v>174312</v>
      </c>
      <c r="G45" s="166">
        <v>181820</v>
      </c>
      <c r="H45" s="166">
        <v>203413</v>
      </c>
      <c r="I45" s="167">
        <f t="shared" si="2"/>
        <v>0.11876031239687612</v>
      </c>
      <c r="J45" s="166">
        <f t="shared" si="3"/>
        <v>21593</v>
      </c>
      <c r="K45" s="167">
        <f t="shared" si="0"/>
        <v>4.995664070184349E-2</v>
      </c>
      <c r="L45" s="167">
        <f>H45/H44</f>
        <v>1</v>
      </c>
      <c r="M45" s="166">
        <v>7423</v>
      </c>
      <c r="N45" s="166">
        <v>16473</v>
      </c>
      <c r="O45" s="166">
        <v>19959</v>
      </c>
      <c r="P45" s="166">
        <v>15933</v>
      </c>
      <c r="Q45" s="166">
        <v>19577</v>
      </c>
      <c r="R45" s="166">
        <v>21810</v>
      </c>
      <c r="S45" s="167">
        <f t="shared" si="4"/>
        <v>0.11406242018695401</v>
      </c>
      <c r="T45" s="166">
        <f t="shared" si="1"/>
        <v>2233</v>
      </c>
      <c r="U45" s="167">
        <f t="shared" si="5"/>
        <v>3.7578007443431337E-2</v>
      </c>
      <c r="V45" s="167">
        <f>IFERROR(R45/R44,"-")</f>
        <v>1</v>
      </c>
    </row>
    <row r="46" spans="2:22" x14ac:dyDescent="0.25">
      <c r="B46" s="123" t="s">
        <v>142</v>
      </c>
      <c r="C46" s="70">
        <v>33760</v>
      </c>
      <c r="D46" s="70">
        <v>64687</v>
      </c>
      <c r="E46" s="70">
        <v>95049</v>
      </c>
      <c r="F46" s="70">
        <v>104520</v>
      </c>
      <c r="G46" s="70">
        <v>106809</v>
      </c>
      <c r="H46" s="70">
        <v>135194</v>
      </c>
      <c r="I46" s="124">
        <f t="shared" si="2"/>
        <v>0.26575475849413444</v>
      </c>
      <c r="J46" s="70">
        <f t="shared" si="3"/>
        <v>28385</v>
      </c>
      <c r="K46" s="124">
        <f t="shared" si="0"/>
        <v>3.3202588246793611E-2</v>
      </c>
      <c r="L46" s="124">
        <f>H46/H44</f>
        <v>0.66462812111320324</v>
      </c>
      <c r="M46" s="70">
        <v>3927</v>
      </c>
      <c r="N46" s="70">
        <v>10524</v>
      </c>
      <c r="O46" s="70">
        <v>11314</v>
      </c>
      <c r="P46" s="70">
        <v>9475</v>
      </c>
      <c r="Q46" s="70">
        <v>12468</v>
      </c>
      <c r="R46" s="70">
        <v>15013</v>
      </c>
      <c r="S46" s="124">
        <f t="shared" si="4"/>
        <v>0.20412255373756816</v>
      </c>
      <c r="T46" s="70">
        <f t="shared" si="1"/>
        <v>2545</v>
      </c>
      <c r="U46" s="124">
        <f t="shared" si="5"/>
        <v>2.2346803522658127E-2</v>
      </c>
      <c r="V46" s="124">
        <f>IFERROR(R46/R44,"-")</f>
        <v>0.68835396607060984</v>
      </c>
    </row>
    <row r="47" spans="2:22" ht="15.75" thickBot="1" x14ac:dyDescent="0.3">
      <c r="B47" s="123" t="s">
        <v>144</v>
      </c>
      <c r="C47" s="70">
        <v>33292</v>
      </c>
      <c r="D47" s="70">
        <v>38912</v>
      </c>
      <c r="E47" s="70">
        <v>62934</v>
      </c>
      <c r="F47" s="70">
        <v>69792</v>
      </c>
      <c r="G47" s="70">
        <v>75011</v>
      </c>
      <c r="H47" s="70">
        <v>68219</v>
      </c>
      <c r="I47" s="124">
        <f t="shared" si="2"/>
        <v>-9.054671981442719E-2</v>
      </c>
      <c r="J47" s="70">
        <f t="shared" si="3"/>
        <v>-6792</v>
      </c>
      <c r="K47" s="124">
        <f t="shared" si="0"/>
        <v>1.6754052455049878E-2</v>
      </c>
      <c r="L47" s="124">
        <f>H47/H44</f>
        <v>0.33537187888679681</v>
      </c>
      <c r="M47" s="70">
        <v>3496</v>
      </c>
      <c r="N47" s="70">
        <v>5949</v>
      </c>
      <c r="O47" s="70">
        <v>8645</v>
      </c>
      <c r="P47" s="70">
        <v>6458</v>
      </c>
      <c r="Q47" s="70">
        <v>7109</v>
      </c>
      <c r="R47" s="70">
        <v>6797</v>
      </c>
      <c r="S47" s="124">
        <f t="shared" si="4"/>
        <v>-4.3888029258686179E-2</v>
      </c>
      <c r="T47" s="70">
        <f t="shared" si="1"/>
        <v>-312</v>
      </c>
      <c r="U47" s="124">
        <f t="shared" si="5"/>
        <v>1.5231203920773212E-2</v>
      </c>
      <c r="V47" s="124">
        <f>IFERROR(R47/R44,"-")</f>
        <v>0.31164603392939016</v>
      </c>
    </row>
    <row r="48" spans="2:22" ht="15.75" x14ac:dyDescent="0.25">
      <c r="B48" s="161" t="s">
        <v>54</v>
      </c>
      <c r="C48" s="162">
        <v>71319</v>
      </c>
      <c r="D48" s="162">
        <v>77584</v>
      </c>
      <c r="E48" s="162">
        <v>190426</v>
      </c>
      <c r="F48" s="162">
        <v>205238</v>
      </c>
      <c r="G48" s="162">
        <v>213816</v>
      </c>
      <c r="H48" s="162">
        <v>213733</v>
      </c>
      <c r="I48" s="163">
        <f t="shared" si="2"/>
        <v>-3.8818423317243944E-4</v>
      </c>
      <c r="J48" s="162">
        <f t="shared" si="3"/>
        <v>-83</v>
      </c>
      <c r="K48" s="163">
        <f t="shared" si="0"/>
        <v>5.2491151927984515E-2</v>
      </c>
      <c r="L48" s="164">
        <f>H48/H48</f>
        <v>1</v>
      </c>
      <c r="M48" s="162">
        <v>5725</v>
      </c>
      <c r="N48" s="162">
        <v>15267</v>
      </c>
      <c r="O48" s="162">
        <v>20130</v>
      </c>
      <c r="P48" s="162">
        <v>22106</v>
      </c>
      <c r="Q48" s="162">
        <v>21182</v>
      </c>
      <c r="R48" s="162">
        <v>24257</v>
      </c>
      <c r="S48" s="163">
        <f t="shared" si="4"/>
        <v>0.14517042772165056</v>
      </c>
      <c r="T48" s="162">
        <f t="shared" si="1"/>
        <v>3075</v>
      </c>
      <c r="U48" s="163">
        <f t="shared" si="5"/>
        <v>5.2137038382256522E-2</v>
      </c>
      <c r="V48" s="164">
        <f>IFERROR(R48/R48,"-")</f>
        <v>1</v>
      </c>
    </row>
    <row r="49" spans="2:22" ht="15.75" x14ac:dyDescent="0.25">
      <c r="B49" s="165" t="s">
        <v>62</v>
      </c>
      <c r="C49" s="166">
        <v>55367</v>
      </c>
      <c r="D49" s="166">
        <v>64813</v>
      </c>
      <c r="E49" s="166">
        <v>157275</v>
      </c>
      <c r="F49" s="166">
        <v>168976</v>
      </c>
      <c r="G49" s="166">
        <v>176312</v>
      </c>
      <c r="H49" s="166">
        <v>173044</v>
      </c>
      <c r="I49" s="167">
        <f t="shared" si="2"/>
        <v>-1.853532374427147E-2</v>
      </c>
      <c r="J49" s="166">
        <f t="shared" si="3"/>
        <v>-3268</v>
      </c>
      <c r="K49" s="167">
        <f t="shared" si="0"/>
        <v>4.2498251997708132E-2</v>
      </c>
      <c r="L49" s="167">
        <f>H49/H48</f>
        <v>0.80962696448372506</v>
      </c>
      <c r="M49" s="166">
        <v>4549</v>
      </c>
      <c r="N49" s="166">
        <v>13091</v>
      </c>
      <c r="O49" s="166">
        <v>16918</v>
      </c>
      <c r="P49" s="166">
        <v>18135</v>
      </c>
      <c r="Q49" s="166">
        <v>17254</v>
      </c>
      <c r="R49" s="166">
        <v>20129</v>
      </c>
      <c r="S49" s="167">
        <f t="shared" si="4"/>
        <v>0.16662802828329659</v>
      </c>
      <c r="T49" s="166">
        <f t="shared" si="1"/>
        <v>2875</v>
      </c>
      <c r="U49" s="167">
        <f t="shared" si="5"/>
        <v>4.2771428167113996E-2</v>
      </c>
      <c r="V49" s="167">
        <f>IFERROR(R49/R48,"-")</f>
        <v>0.82982231933050254</v>
      </c>
    </row>
    <row r="50" spans="2:22" x14ac:dyDescent="0.25">
      <c r="B50" s="123" t="s">
        <v>142</v>
      </c>
      <c r="C50" s="70">
        <v>40956</v>
      </c>
      <c r="D50" s="70">
        <v>25030</v>
      </c>
      <c r="E50" s="70">
        <v>120299</v>
      </c>
      <c r="F50" s="70">
        <v>132879</v>
      </c>
      <c r="G50" s="70">
        <v>136256</v>
      </c>
      <c r="H50" s="70">
        <v>134715</v>
      </c>
      <c r="I50" s="124">
        <f t="shared" si="2"/>
        <v>-1.1309593705965293E-2</v>
      </c>
      <c r="J50" s="70">
        <f t="shared" si="3"/>
        <v>-1541</v>
      </c>
      <c r="K50" s="124">
        <f t="shared" si="0"/>
        <v>3.308494959589036E-2</v>
      </c>
      <c r="L50" s="124">
        <f>H50/H48</f>
        <v>0.630295742819312</v>
      </c>
      <c r="M50" s="70">
        <v>0</v>
      </c>
      <c r="N50" s="70">
        <v>9556</v>
      </c>
      <c r="O50" s="70">
        <v>12977</v>
      </c>
      <c r="P50" s="70">
        <v>14015</v>
      </c>
      <c r="Q50" s="70">
        <v>12989</v>
      </c>
      <c r="R50" s="70">
        <v>16265</v>
      </c>
      <c r="S50" s="124">
        <f t="shared" si="4"/>
        <v>0.25221341134806385</v>
      </c>
      <c r="T50" s="70">
        <f t="shared" si="1"/>
        <v>3276</v>
      </c>
      <c r="U50" s="124">
        <f t="shared" si="5"/>
        <v>3.3054401200005662E-2</v>
      </c>
      <c r="V50" s="124">
        <f>IFERROR(R50/R48,"-")</f>
        <v>0.67052809498289156</v>
      </c>
    </row>
    <row r="51" spans="2:22" x14ac:dyDescent="0.25">
      <c r="B51" s="123" t="s">
        <v>144</v>
      </c>
      <c r="C51" s="70">
        <v>9862</v>
      </c>
      <c r="D51" s="70">
        <v>12187</v>
      </c>
      <c r="E51" s="70">
        <v>36976</v>
      </c>
      <c r="F51" s="70">
        <v>36097</v>
      </c>
      <c r="G51" s="70">
        <v>40056</v>
      </c>
      <c r="H51" s="70">
        <v>38329</v>
      </c>
      <c r="I51" s="124">
        <f t="shared" si="2"/>
        <v>-4.3114639504693408E-2</v>
      </c>
      <c r="J51" s="70">
        <f t="shared" si="3"/>
        <v>-1727</v>
      </c>
      <c r="K51" s="124">
        <f t="shared" si="0"/>
        <v>9.4133024018177754E-3</v>
      </c>
      <c r="L51" s="124">
        <f>H51/H48</f>
        <v>0.17933122166441307</v>
      </c>
      <c r="M51" s="70">
        <v>0</v>
      </c>
      <c r="N51" s="70">
        <v>3535</v>
      </c>
      <c r="O51" s="70">
        <v>3941</v>
      </c>
      <c r="P51" s="70">
        <v>4120</v>
      </c>
      <c r="Q51" s="70">
        <v>4265</v>
      </c>
      <c r="R51" s="70">
        <v>3864</v>
      </c>
      <c r="S51" s="124">
        <f t="shared" si="4"/>
        <v>-9.4021101992965983E-2</v>
      </c>
      <c r="T51" s="70">
        <f t="shared" si="1"/>
        <v>-401</v>
      </c>
      <c r="U51" s="124">
        <f t="shared" si="5"/>
        <v>9.7170269671083363E-3</v>
      </c>
      <c r="V51" s="124">
        <f>IFERROR(R51/R48,"-")</f>
        <v>0.15929422434761101</v>
      </c>
    </row>
    <row r="52" spans="2:22" ht="16.5" thickBot="1" x14ac:dyDescent="0.3">
      <c r="B52" s="168" t="s">
        <v>65</v>
      </c>
      <c r="C52" s="169">
        <v>15952</v>
      </c>
      <c r="D52" s="169">
        <v>12771</v>
      </c>
      <c r="E52" s="169">
        <v>33151</v>
      </c>
      <c r="F52" s="169">
        <v>36262</v>
      </c>
      <c r="G52" s="169">
        <v>37504</v>
      </c>
      <c r="H52" s="169">
        <v>40689</v>
      </c>
      <c r="I52" s="170">
        <f t="shared" si="2"/>
        <v>8.4924274744027306E-2</v>
      </c>
      <c r="J52" s="169">
        <f t="shared" si="3"/>
        <v>3185</v>
      </c>
      <c r="K52" s="170">
        <f t="shared" si="0"/>
        <v>9.9928999302763815E-3</v>
      </c>
      <c r="L52" s="170">
        <f>H52/H48</f>
        <v>0.19037303551627499</v>
      </c>
      <c r="M52" s="169">
        <v>1176</v>
      </c>
      <c r="N52" s="169">
        <v>2176</v>
      </c>
      <c r="O52" s="169">
        <v>3212</v>
      </c>
      <c r="P52" s="169">
        <v>3971</v>
      </c>
      <c r="Q52" s="169">
        <v>3928</v>
      </c>
      <c r="R52" s="169">
        <v>4128</v>
      </c>
      <c r="S52" s="170">
        <f t="shared" si="4"/>
        <v>5.0916496945010215E-2</v>
      </c>
      <c r="T52" s="169">
        <f t="shared" si="1"/>
        <v>200</v>
      </c>
      <c r="U52" s="170">
        <f t="shared" si="5"/>
        <v>9.3656102151425235E-3</v>
      </c>
      <c r="V52" s="170">
        <f>IFERROR(R52/R48,"-")</f>
        <v>0.17017768066949746</v>
      </c>
    </row>
    <row r="53" spans="2:22" ht="15.75" x14ac:dyDescent="0.25">
      <c r="B53" s="161" t="s">
        <v>55</v>
      </c>
      <c r="C53" s="162">
        <f t="shared" ref="C53:H56" si="6">C6-C11-C16-C21-C26-C30-C35-C39-C44-C48</f>
        <v>133502</v>
      </c>
      <c r="D53" s="162">
        <f t="shared" si="6"/>
        <v>42879</v>
      </c>
      <c r="E53" s="162">
        <f t="shared" si="6"/>
        <v>81548</v>
      </c>
      <c r="F53" s="162">
        <f t="shared" si="6"/>
        <v>89780</v>
      </c>
      <c r="G53" s="162">
        <f t="shared" si="6"/>
        <v>94601</v>
      </c>
      <c r="H53" s="162">
        <f t="shared" si="6"/>
        <v>94517</v>
      </c>
      <c r="I53" s="163">
        <f t="shared" si="2"/>
        <v>-8.8793987378565919E-4</v>
      </c>
      <c r="J53" s="162">
        <f t="shared" si="3"/>
        <v>-84</v>
      </c>
      <c r="K53" s="163">
        <f t="shared" si="0"/>
        <v>2.3212635422594136E-2</v>
      </c>
      <c r="L53" s="164">
        <f>H53/H53</f>
        <v>1</v>
      </c>
      <c r="M53" s="162">
        <v>3786</v>
      </c>
      <c r="N53" s="162">
        <v>7762</v>
      </c>
      <c r="O53" s="162">
        <v>9104</v>
      </c>
      <c r="P53" s="162">
        <v>10225</v>
      </c>
      <c r="Q53" s="162">
        <v>11098</v>
      </c>
      <c r="R53" s="162">
        <v>11263</v>
      </c>
      <c r="S53" s="163">
        <f t="shared" si="4"/>
        <v>1.4867543701567953E-2</v>
      </c>
      <c r="T53" s="162">
        <f t="shared" si="1"/>
        <v>165</v>
      </c>
      <c r="U53" s="163">
        <f t="shared" si="5"/>
        <v>2.411567979094241E-2</v>
      </c>
      <c r="V53" s="164">
        <f>IFERROR(R53/R53,"-")</f>
        <v>1</v>
      </c>
    </row>
    <row r="54" spans="2:22" ht="15.75" x14ac:dyDescent="0.25">
      <c r="B54" s="165" t="s">
        <v>62</v>
      </c>
      <c r="C54" s="166">
        <f t="shared" si="6"/>
        <v>100711</v>
      </c>
      <c r="D54" s="166">
        <f t="shared" si="6"/>
        <v>44448</v>
      </c>
      <c r="E54" s="166">
        <f t="shared" si="6"/>
        <v>78991</v>
      </c>
      <c r="F54" s="166">
        <f t="shared" si="6"/>
        <v>82998</v>
      </c>
      <c r="G54" s="166">
        <f t="shared" si="6"/>
        <v>86316</v>
      </c>
      <c r="H54" s="166">
        <f t="shared" si="6"/>
        <v>85085</v>
      </c>
      <c r="I54" s="167">
        <f t="shared" si="2"/>
        <v>-1.4261550581583959E-2</v>
      </c>
      <c r="J54" s="166">
        <f t="shared" si="3"/>
        <v>-1231</v>
      </c>
      <c r="K54" s="167">
        <f t="shared" si="0"/>
        <v>2.0896210046144312E-2</v>
      </c>
      <c r="L54" s="167">
        <f>H54/H53</f>
        <v>0.90020842811346102</v>
      </c>
      <c r="M54" s="166">
        <v>3765</v>
      </c>
      <c r="N54" s="166">
        <v>7704</v>
      </c>
      <c r="O54" s="166">
        <v>8796</v>
      </c>
      <c r="P54" s="166">
        <v>9444</v>
      </c>
      <c r="Q54" s="166">
        <v>10242</v>
      </c>
      <c r="R54" s="166">
        <v>10246</v>
      </c>
      <c r="S54" s="167">
        <f t="shared" si="4"/>
        <v>3.9054872095301008E-4</v>
      </c>
      <c r="T54" s="166">
        <f t="shared" si="1"/>
        <v>4</v>
      </c>
      <c r="U54" s="167">
        <f t="shared" si="5"/>
        <v>2.2273689970235707E-2</v>
      </c>
      <c r="V54" s="167">
        <f>IFERROR(R54/R53,"-")</f>
        <v>0.90970434164964931</v>
      </c>
    </row>
    <row r="55" spans="2:22" x14ac:dyDescent="0.25">
      <c r="B55" s="123" t="s">
        <v>142</v>
      </c>
      <c r="C55" s="70">
        <f t="shared" si="6"/>
        <v>104208</v>
      </c>
      <c r="D55" s="70">
        <f t="shared" si="6"/>
        <v>124872</v>
      </c>
      <c r="E55" s="70">
        <f t="shared" si="6"/>
        <v>291205</v>
      </c>
      <c r="F55" s="70">
        <f t="shared" si="6"/>
        <v>266200</v>
      </c>
      <c r="G55" s="70">
        <f t="shared" si="6"/>
        <v>337797</v>
      </c>
      <c r="H55" s="70">
        <f t="shared" si="6"/>
        <v>303306</v>
      </c>
      <c r="I55" s="124">
        <f t="shared" si="2"/>
        <v>-0.10210570253732276</v>
      </c>
      <c r="J55" s="70">
        <f t="shared" si="3"/>
        <v>-34491</v>
      </c>
      <c r="K55" s="124">
        <f t="shared" si="0"/>
        <v>7.4489579646892484E-2</v>
      </c>
      <c r="L55" s="124">
        <f>H55/H53</f>
        <v>3.2090100193615965</v>
      </c>
      <c r="M55" s="70">
        <v>2145</v>
      </c>
      <c r="N55" s="70">
        <v>5920</v>
      </c>
      <c r="O55" s="70">
        <v>6631</v>
      </c>
      <c r="P55" s="70">
        <v>6908</v>
      </c>
      <c r="Q55" s="70">
        <v>7159</v>
      </c>
      <c r="R55" s="70">
        <v>6931</v>
      </c>
      <c r="S55" s="124">
        <f t="shared" si="4"/>
        <v>-3.1848023466964692E-2</v>
      </c>
      <c r="T55" s="70">
        <f t="shared" si="1"/>
        <v>-228</v>
      </c>
      <c r="U55" s="124">
        <f t="shared" si="5"/>
        <v>1.6292529681743783E-2</v>
      </c>
      <c r="V55" s="124">
        <f>IFERROR(R55/R53,"-")</f>
        <v>0.61537778566989254</v>
      </c>
    </row>
    <row r="56" spans="2:22" x14ac:dyDescent="0.25">
      <c r="B56" s="123" t="s">
        <v>144</v>
      </c>
      <c r="C56" s="70">
        <f t="shared" si="6"/>
        <v>43327</v>
      </c>
      <c r="D56" s="70">
        <f t="shared" si="6"/>
        <v>38837</v>
      </c>
      <c r="E56" s="70">
        <f t="shared" si="6"/>
        <v>60778</v>
      </c>
      <c r="F56" s="70">
        <f t="shared" si="6"/>
        <v>86961</v>
      </c>
      <c r="G56" s="70">
        <f t="shared" si="6"/>
        <v>83628</v>
      </c>
      <c r="H56" s="70">
        <f t="shared" si="6"/>
        <v>93806</v>
      </c>
      <c r="I56" s="124">
        <f t="shared" si="2"/>
        <v>0.12170564882575219</v>
      </c>
      <c r="J56" s="70">
        <f t="shared" si="3"/>
        <v>10178</v>
      </c>
      <c r="K56" s="124">
        <f t="shared" si="0"/>
        <v>2.3038019387537328E-2</v>
      </c>
      <c r="L56" s="124">
        <f>H56/H53</f>
        <v>0.99247754372229335</v>
      </c>
      <c r="M56" s="70">
        <v>1620</v>
      </c>
      <c r="N56" s="70">
        <v>1784</v>
      </c>
      <c r="O56" s="70">
        <v>2165</v>
      </c>
      <c r="P56" s="70">
        <v>2536</v>
      </c>
      <c r="Q56" s="70">
        <v>3083</v>
      </c>
      <c r="R56" s="70">
        <v>3315</v>
      </c>
      <c r="S56" s="124">
        <f t="shared" si="4"/>
        <v>7.5251378527408264E-2</v>
      </c>
      <c r="T56" s="70">
        <f t="shared" si="1"/>
        <v>232</v>
      </c>
      <c r="U56" s="124">
        <f t="shared" si="5"/>
        <v>5.9811602884919267E-3</v>
      </c>
      <c r="V56" s="124">
        <f>IFERROR(R56/R53,"-")</f>
        <v>0.29432655597975671</v>
      </c>
    </row>
    <row r="57" spans="2:22" ht="15.75" x14ac:dyDescent="0.25">
      <c r="B57" s="168" t="s">
        <v>65</v>
      </c>
      <c r="C57" s="169">
        <f>C53-C54</f>
        <v>32791</v>
      </c>
      <c r="D57" s="169">
        <f t="shared" ref="D57:H57" si="7">D53-D54</f>
        <v>-1569</v>
      </c>
      <c r="E57" s="169">
        <f t="shared" si="7"/>
        <v>2557</v>
      </c>
      <c r="F57" s="169">
        <f t="shared" si="7"/>
        <v>6782</v>
      </c>
      <c r="G57" s="169">
        <f t="shared" si="7"/>
        <v>8285</v>
      </c>
      <c r="H57" s="169">
        <f t="shared" si="7"/>
        <v>9432</v>
      </c>
      <c r="I57" s="170">
        <f t="shared" si="2"/>
        <v>0.13844296922148458</v>
      </c>
      <c r="J57" s="169">
        <f t="shared" si="3"/>
        <v>1147</v>
      </c>
      <c r="K57" s="170">
        <f t="shared" si="0"/>
        <v>2.3164253764498227E-3</v>
      </c>
      <c r="L57" s="170">
        <f>H57/H53</f>
        <v>9.9791571886538935E-2</v>
      </c>
      <c r="M57" s="169">
        <v>51</v>
      </c>
      <c r="N57" s="169">
        <v>919</v>
      </c>
      <c r="O57" s="169">
        <v>789</v>
      </c>
      <c r="P57" s="169">
        <v>1370</v>
      </c>
      <c r="Q57" s="169">
        <v>3865</v>
      </c>
      <c r="R57" s="169">
        <v>3904</v>
      </c>
      <c r="S57" s="170">
        <f t="shared" si="4"/>
        <v>1.0090556274256146E-2</v>
      </c>
      <c r="T57" s="169">
        <f t="shared" si="1"/>
        <v>39</v>
      </c>
      <c r="U57" s="170">
        <f t="shared" si="5"/>
        <v>3.231147316732626E-3</v>
      </c>
      <c r="V57" s="170">
        <f>IFERROR(R57/R53,"-")</f>
        <v>0.34662168161235907</v>
      </c>
    </row>
    <row r="58" spans="2:22" x14ac:dyDescent="0.25">
      <c r="B58" s="127"/>
      <c r="C58" s="128"/>
      <c r="D58" s="128"/>
      <c r="E58" s="128"/>
      <c r="F58" s="128"/>
      <c r="G58" s="128"/>
      <c r="H58" s="129"/>
      <c r="I58" s="128"/>
      <c r="J58" s="130"/>
      <c r="K58" s="130"/>
      <c r="L58" s="130"/>
    </row>
    <row r="59" spans="2:22" x14ac:dyDescent="0.25">
      <c r="B59" s="131" t="s">
        <v>57</v>
      </c>
      <c r="C59" s="131"/>
      <c r="D59" s="131"/>
      <c r="E59" s="131"/>
      <c r="F59" s="131"/>
      <c r="G59" s="131"/>
      <c r="H59" s="131"/>
      <c r="I59" s="131"/>
      <c r="J59" s="131"/>
      <c r="K59" s="131"/>
      <c r="L59" s="131"/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26137-C4F0-47B4-A6CF-49CA657126ED}">
  <sheetPr>
    <tabColor theme="7" tint="0.79998168889431442"/>
    <pageSetUpPr fitToPage="1"/>
  </sheetPr>
  <dimension ref="A1:W162"/>
  <sheetViews>
    <sheetView showGridLines="0" workbookViewId="0">
      <selection activeCell="G10" sqref="G10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4" max="23" width="11.42578125" hidden="1" customWidth="1"/>
  </cols>
  <sheetData>
    <row r="1" spans="1:23" ht="42.75" customHeight="1" x14ac:dyDescent="0.25"/>
    <row r="3" spans="1:23" ht="42" customHeight="1" thickBot="1" x14ac:dyDescent="0.3">
      <c r="B3" s="12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3" s="12"/>
      <c r="D3" s="12"/>
      <c r="E3" s="12"/>
      <c r="F3" s="12"/>
      <c r="G3" s="12"/>
      <c r="H3" s="12"/>
      <c r="I3" s="12"/>
      <c r="J3" s="12"/>
      <c r="K3" s="12"/>
      <c r="N3" s="172" t="s">
        <v>264</v>
      </c>
      <c r="O3" s="173"/>
      <c r="P3" s="173"/>
      <c r="Q3" s="173"/>
      <c r="R3" s="173"/>
      <c r="S3" s="173"/>
      <c r="T3" s="173"/>
      <c r="U3" s="173"/>
      <c r="V3" s="173"/>
      <c r="W3" s="173"/>
    </row>
    <row r="4" spans="1:23" ht="6" customHeight="1" x14ac:dyDescent="0.25"/>
    <row r="5" spans="1:23" ht="15.75" x14ac:dyDescent="0.25">
      <c r="B5" s="174"/>
      <c r="C5" s="175" t="s">
        <v>45</v>
      </c>
      <c r="D5" s="176"/>
      <c r="E5" s="176"/>
      <c r="F5" s="176"/>
      <c r="G5" s="176"/>
      <c r="H5" s="176"/>
      <c r="I5" s="176"/>
      <c r="J5" s="176"/>
      <c r="K5" s="176"/>
      <c r="N5" s="174"/>
      <c r="O5" s="175" t="s">
        <v>45</v>
      </c>
      <c r="P5" s="176"/>
      <c r="Q5" s="176"/>
      <c r="R5" s="176"/>
      <c r="S5" s="176"/>
      <c r="T5" s="176"/>
      <c r="U5" s="176"/>
      <c r="V5" s="176"/>
      <c r="W5" s="176"/>
    </row>
    <row r="6" spans="1:23" s="177" customFormat="1" ht="72" customHeight="1" x14ac:dyDescent="0.25">
      <c r="B6" s="178"/>
      <c r="C6" s="179">
        <v>2019</v>
      </c>
      <c r="D6" s="180">
        <v>2020</v>
      </c>
      <c r="E6" s="180">
        <v>2021</v>
      </c>
      <c r="F6" s="180">
        <v>2022</v>
      </c>
      <c r="G6" s="180">
        <v>2023</v>
      </c>
      <c r="H6" s="180">
        <v>2024</v>
      </c>
      <c r="I6" s="181" t="str">
        <f>CONCATENATE("var. ",RIGHT(H6,2),"/",RIGHT(G6,2))</f>
        <v>var. 24/23</v>
      </c>
      <c r="J6" s="182" t="str">
        <f>CONCATENATE("dif. ",RIGHT(H6,2),"/",RIGHT(G6,2))</f>
        <v>dif. 24/23</v>
      </c>
      <c r="K6" s="181" t="str">
        <f>CONCATENATE("Cuota s/ total lugares de residencia ",RIGHT(H6,4))</f>
        <v>Cuota s/ total lugares de residencia 2024</v>
      </c>
      <c r="N6" s="178"/>
      <c r="O6" s="179">
        <v>2019</v>
      </c>
      <c r="P6" s="180">
        <v>2020</v>
      </c>
      <c r="Q6" s="180">
        <v>2021</v>
      </c>
      <c r="R6" s="180">
        <v>2022</v>
      </c>
      <c r="S6" s="180">
        <v>2023</v>
      </c>
      <c r="T6" s="180">
        <v>2024</v>
      </c>
      <c r="U6" s="181" t="str">
        <f>CONCATENATE("var. ",RIGHT(T6,2),"/",RIGHT(S6,2))</f>
        <v>var. 24/23</v>
      </c>
      <c r="V6" s="182" t="str">
        <f>CONCATENATE("dif. ",RIGHT(T6,2),"/",RIGHT(S6,2))</f>
        <v>dif. 24/23</v>
      </c>
      <c r="W6" s="181" t="str">
        <f>CONCATENATE("Cuota s/ total lugares de residencia ",RIGHT(T6,4))</f>
        <v>Cuota s/ total lugares de residencia 2024</v>
      </c>
    </row>
    <row r="7" spans="1:23" x14ac:dyDescent="0.25">
      <c r="A7" s="1"/>
      <c r="B7" s="183" t="s">
        <v>45</v>
      </c>
      <c r="C7" s="184"/>
      <c r="D7" s="184"/>
      <c r="E7" s="184"/>
      <c r="F7" s="184"/>
      <c r="G7" s="184"/>
      <c r="H7" s="185"/>
      <c r="I7" s="185"/>
      <c r="J7" s="185"/>
      <c r="K7" s="184"/>
      <c r="L7" s="103"/>
      <c r="N7" s="186" t="s">
        <v>54</v>
      </c>
      <c r="O7" s="184"/>
      <c r="P7" s="184"/>
      <c r="Q7" s="184"/>
      <c r="R7" s="184"/>
      <c r="S7" s="184"/>
      <c r="T7" s="185"/>
      <c r="U7" s="185"/>
      <c r="V7" s="185"/>
      <c r="W7" s="184"/>
    </row>
    <row r="8" spans="1:23" x14ac:dyDescent="0.25">
      <c r="A8" s="1"/>
      <c r="B8" s="187" t="s">
        <v>70</v>
      </c>
      <c r="C8" s="188">
        <v>4831573</v>
      </c>
      <c r="D8" s="188">
        <v>1565303</v>
      </c>
      <c r="E8" s="188">
        <v>2335438</v>
      </c>
      <c r="F8" s="188">
        <v>4757683</v>
      </c>
      <c r="G8" s="188">
        <v>5188807</v>
      </c>
      <c r="H8" s="188">
        <v>5480280</v>
      </c>
      <c r="I8" s="189">
        <f>IFERROR(H8/G8-1,"-")</f>
        <v>5.6173413272068151E-2</v>
      </c>
      <c r="J8" s="188">
        <f t="shared" ref="J8:J20" si="0">H8-G8</f>
        <v>291473</v>
      </c>
      <c r="K8" s="189">
        <f t="shared" ref="K8:K20" si="1">H8/H$8</f>
        <v>1</v>
      </c>
      <c r="L8" s="103"/>
      <c r="N8" s="187" t="s">
        <v>70</v>
      </c>
      <c r="O8" s="188">
        <v>250224</v>
      </c>
      <c r="P8" s="188">
        <v>96681</v>
      </c>
      <c r="Q8" s="188">
        <v>140346</v>
      </c>
      <c r="R8" s="188">
        <v>257117</v>
      </c>
      <c r="S8" s="188">
        <v>278594</v>
      </c>
      <c r="T8" s="188">
        <v>287810</v>
      </c>
      <c r="U8" s="189">
        <f>IFERROR(T8/S8-1,"-")</f>
        <v>3.3080396562739978E-2</v>
      </c>
      <c r="V8" s="188">
        <f>T8-S8</f>
        <v>9216</v>
      </c>
      <c r="W8" s="189">
        <f>T8/T$8</f>
        <v>1</v>
      </c>
    </row>
    <row r="9" spans="1:23" x14ac:dyDescent="0.25">
      <c r="A9" s="1" t="s">
        <v>98</v>
      </c>
      <c r="B9" s="190" t="s">
        <v>99</v>
      </c>
      <c r="C9" s="191">
        <v>1047557</v>
      </c>
      <c r="D9" s="191">
        <v>456683</v>
      </c>
      <c r="E9" s="191">
        <v>800301</v>
      </c>
      <c r="F9" s="191">
        <v>1016781</v>
      </c>
      <c r="G9" s="191">
        <v>1041269</v>
      </c>
      <c r="H9" s="191">
        <v>1058434</v>
      </c>
      <c r="I9" s="192">
        <f>IFERROR(H9/G9-1,"-")</f>
        <v>1.6484693196474609E-2</v>
      </c>
      <c r="J9" s="191">
        <f t="shared" si="0"/>
        <v>17165</v>
      </c>
      <c r="K9" s="192">
        <f t="shared" si="1"/>
        <v>0.19313502229813076</v>
      </c>
      <c r="L9" s="103"/>
      <c r="N9" s="190" t="s">
        <v>99</v>
      </c>
      <c r="O9" s="191">
        <v>45577</v>
      </c>
      <c r="P9" s="191">
        <v>26839</v>
      </c>
      <c r="Q9" s="191">
        <v>45216</v>
      </c>
      <c r="R9" s="191">
        <v>29061</v>
      </c>
      <c r="S9" s="191">
        <v>32018</v>
      </c>
      <c r="T9" s="191">
        <v>29188</v>
      </c>
      <c r="U9" s="192">
        <f>IFERROR(T9/S9-1,"-")</f>
        <v>-8.838778187269658E-2</v>
      </c>
      <c r="V9" s="191">
        <f t="shared" ref="V9:V19" si="2">T9-S9</f>
        <v>-2830</v>
      </c>
      <c r="W9" s="192">
        <f>T9/T$8</f>
        <v>0.10141412737569924</v>
      </c>
    </row>
    <row r="10" spans="1:23" x14ac:dyDescent="0.25">
      <c r="A10" s="193" t="s">
        <v>105</v>
      </c>
      <c r="B10" s="194" t="s">
        <v>105</v>
      </c>
      <c r="C10" s="195">
        <v>415150</v>
      </c>
      <c r="D10" s="195">
        <v>208389</v>
      </c>
      <c r="E10" s="195">
        <v>416048</v>
      </c>
      <c r="F10" s="195">
        <v>423208</v>
      </c>
      <c r="G10" s="195">
        <v>428791</v>
      </c>
      <c r="H10" s="195">
        <v>421973</v>
      </c>
      <c r="I10" s="196">
        <f>IFERROR(H10/G10-1,"-")</f>
        <v>-1.5900520300099585E-2</v>
      </c>
      <c r="J10" s="195">
        <f t="shared" si="0"/>
        <v>-6818</v>
      </c>
      <c r="K10" s="196">
        <f t="shared" si="1"/>
        <v>7.6998438036012765E-2</v>
      </c>
      <c r="L10" s="103"/>
      <c r="N10" s="194" t="s">
        <v>105</v>
      </c>
      <c r="O10" s="195">
        <v>24890</v>
      </c>
      <c r="P10" s="195">
        <v>20058</v>
      </c>
      <c r="Q10" s="195">
        <v>34195</v>
      </c>
      <c r="R10" s="195">
        <v>19943</v>
      </c>
      <c r="S10" s="195">
        <v>20738</v>
      </c>
      <c r="T10" s="195">
        <v>18376</v>
      </c>
      <c r="U10" s="196">
        <f>IFERROR(T10/S10-1,"-")</f>
        <v>-0.1138971935577201</v>
      </c>
      <c r="V10" s="195">
        <f t="shared" si="2"/>
        <v>-2362</v>
      </c>
      <c r="W10" s="196">
        <f>T10/T$8</f>
        <v>6.3847677287099128E-2</v>
      </c>
    </row>
    <row r="11" spans="1:23" x14ac:dyDescent="0.25">
      <c r="A11" s="193" t="s">
        <v>102</v>
      </c>
      <c r="B11" s="194" t="s">
        <v>102</v>
      </c>
      <c r="C11" s="195">
        <v>632407</v>
      </c>
      <c r="D11" s="195">
        <v>248294</v>
      </c>
      <c r="E11" s="195">
        <v>384253</v>
      </c>
      <c r="F11" s="195">
        <v>593573</v>
      </c>
      <c r="G11" s="195">
        <v>612478</v>
      </c>
      <c r="H11" s="195">
        <v>636461</v>
      </c>
      <c r="I11" s="196">
        <f>IFERROR(H11/G11-1,"-")</f>
        <v>3.915732483452472E-2</v>
      </c>
      <c r="J11" s="195">
        <f t="shared" si="0"/>
        <v>23983</v>
      </c>
      <c r="K11" s="196">
        <f t="shared" si="1"/>
        <v>0.116136584262118</v>
      </c>
      <c r="L11" s="103"/>
      <c r="N11" s="194" t="s">
        <v>102</v>
      </c>
      <c r="O11" s="195">
        <v>20687</v>
      </c>
      <c r="P11" s="195">
        <v>6781</v>
      </c>
      <c r="Q11" s="195">
        <v>11021</v>
      </c>
      <c r="R11" s="195">
        <v>9118</v>
      </c>
      <c r="S11" s="195">
        <v>11280</v>
      </c>
      <c r="T11" s="195">
        <v>10812</v>
      </c>
      <c r="U11" s="196">
        <f>IFERROR(T11/S11-1,"-")</f>
        <v>-4.1489361702127692E-2</v>
      </c>
      <c r="V11" s="195">
        <f t="shared" si="2"/>
        <v>-468</v>
      </c>
      <c r="W11" s="196">
        <f>T11/T$8</f>
        <v>3.7566450088600122E-2</v>
      </c>
    </row>
    <row r="12" spans="1:23" x14ac:dyDescent="0.25">
      <c r="A12" s="1"/>
      <c r="B12" s="190" t="s">
        <v>109</v>
      </c>
      <c r="C12" s="191">
        <v>3784016</v>
      </c>
      <c r="D12" s="191">
        <v>1108620</v>
      </c>
      <c r="E12" s="191">
        <v>1535137</v>
      </c>
      <c r="F12" s="191">
        <v>3740902</v>
      </c>
      <c r="G12" s="191">
        <v>4147538</v>
      </c>
      <c r="H12" s="191">
        <v>4421846</v>
      </c>
      <c r="I12" s="192">
        <f>IFERROR(H12/G12-1,"-")</f>
        <v>6.6137549553494157E-2</v>
      </c>
      <c r="J12" s="191">
        <f t="shared" si="0"/>
        <v>274308</v>
      </c>
      <c r="K12" s="192">
        <f t="shared" si="1"/>
        <v>0.80686497770186927</v>
      </c>
      <c r="L12" s="103"/>
      <c r="N12" s="190" t="s">
        <v>109</v>
      </c>
      <c r="O12" s="191">
        <v>204647</v>
      </c>
      <c r="P12" s="191">
        <v>69842</v>
      </c>
      <c r="Q12" s="191">
        <v>95130</v>
      </c>
      <c r="R12" s="191">
        <v>228056</v>
      </c>
      <c r="S12" s="191">
        <v>246576</v>
      </c>
      <c r="T12" s="191">
        <v>258622</v>
      </c>
      <c r="U12" s="192">
        <f>IFERROR(T12/S12-1,"-")</f>
        <v>4.8853091947310467E-2</v>
      </c>
      <c r="V12" s="191">
        <f t="shared" si="2"/>
        <v>12046</v>
      </c>
      <c r="W12" s="192">
        <f>T12/T$8</f>
        <v>0.89858587262430079</v>
      </c>
    </row>
    <row r="13" spans="1:23" s="74" customFormat="1" x14ac:dyDescent="0.25">
      <c r="B13" s="194" t="s">
        <v>112</v>
      </c>
      <c r="C13" s="195">
        <v>1721079</v>
      </c>
      <c r="D13" s="195">
        <v>436137</v>
      </c>
      <c r="E13" s="195">
        <v>446045</v>
      </c>
      <c r="F13" s="195">
        <v>1722453</v>
      </c>
      <c r="G13" s="195">
        <v>1939344</v>
      </c>
      <c r="H13" s="195">
        <v>2075266</v>
      </c>
      <c r="I13" s="196">
        <f t="shared" ref="I13:I20" si="3">IFERROR(H13/G13-1,"-")</f>
        <v>7.0086585979588945E-2</v>
      </c>
      <c r="J13" s="195">
        <f t="shared" si="0"/>
        <v>135922</v>
      </c>
      <c r="K13" s="196">
        <f t="shared" si="1"/>
        <v>0.37867882662929631</v>
      </c>
      <c r="L13" s="197"/>
      <c r="N13" s="194" t="s">
        <v>112</v>
      </c>
      <c r="O13" s="195">
        <v>100583</v>
      </c>
      <c r="P13" s="195">
        <v>26093</v>
      </c>
      <c r="Q13" s="195">
        <v>26467</v>
      </c>
      <c r="R13" s="195">
        <v>96562</v>
      </c>
      <c r="S13" s="195">
        <v>105830</v>
      </c>
      <c r="T13" s="195">
        <v>116159</v>
      </c>
      <c r="U13" s="196">
        <f t="shared" ref="U13:U20" si="4">IFERROR(T13/S13-1,"-")</f>
        <v>9.7599924407067995E-2</v>
      </c>
      <c r="V13" s="195">
        <f t="shared" si="2"/>
        <v>10329</v>
      </c>
      <c r="W13" s="196">
        <f t="shared" ref="W13:W20" si="5">T13/T$8</f>
        <v>0.40359612244188875</v>
      </c>
    </row>
    <row r="14" spans="1:23" s="74" customFormat="1" x14ac:dyDescent="0.25">
      <c r="B14" s="194" t="s">
        <v>115</v>
      </c>
      <c r="C14" s="195">
        <v>491040</v>
      </c>
      <c r="D14" s="195">
        <v>138922</v>
      </c>
      <c r="E14" s="195">
        <v>222501</v>
      </c>
      <c r="F14" s="195">
        <v>385709</v>
      </c>
      <c r="G14" s="195">
        <v>431586</v>
      </c>
      <c r="H14" s="195">
        <v>447017</v>
      </c>
      <c r="I14" s="196">
        <f t="shared" si="3"/>
        <v>3.5754171822070191E-2</v>
      </c>
      <c r="J14" s="195">
        <f t="shared" si="0"/>
        <v>15431</v>
      </c>
      <c r="K14" s="196">
        <f t="shared" si="1"/>
        <v>8.1568277533264719E-2</v>
      </c>
      <c r="L14" s="197"/>
      <c r="N14" s="194" t="s">
        <v>115</v>
      </c>
      <c r="O14" s="195">
        <v>15093</v>
      </c>
      <c r="P14" s="195">
        <v>6042</v>
      </c>
      <c r="Q14" s="195">
        <v>9298</v>
      </c>
      <c r="R14" s="195">
        <v>16587</v>
      </c>
      <c r="S14" s="195">
        <v>20785</v>
      </c>
      <c r="T14" s="195">
        <v>21459</v>
      </c>
      <c r="U14" s="196">
        <f t="shared" si="4"/>
        <v>3.2427231176329174E-2</v>
      </c>
      <c r="V14" s="195">
        <f t="shared" si="2"/>
        <v>674</v>
      </c>
      <c r="W14" s="196">
        <f t="shared" si="5"/>
        <v>7.4559605295159995E-2</v>
      </c>
    </row>
    <row r="15" spans="1:23" x14ac:dyDescent="0.25">
      <c r="A15" s="1"/>
      <c r="B15" s="194" t="s">
        <v>118</v>
      </c>
      <c r="C15" s="195">
        <v>166950</v>
      </c>
      <c r="D15" s="195">
        <v>58766</v>
      </c>
      <c r="E15" s="195">
        <v>128102</v>
      </c>
      <c r="F15" s="195">
        <v>197280</v>
      </c>
      <c r="G15" s="195">
        <v>216824</v>
      </c>
      <c r="H15" s="195">
        <v>230379</v>
      </c>
      <c r="I15" s="196">
        <f t="shared" si="3"/>
        <v>6.2516142124487972E-2</v>
      </c>
      <c r="J15" s="195">
        <f t="shared" si="0"/>
        <v>13555</v>
      </c>
      <c r="K15" s="196">
        <f t="shared" si="1"/>
        <v>4.2037815586064946E-2</v>
      </c>
      <c r="L15" s="103"/>
      <c r="N15" s="194" t="s">
        <v>118</v>
      </c>
      <c r="O15" s="195">
        <v>19622</v>
      </c>
      <c r="P15" s="195">
        <v>6586</v>
      </c>
      <c r="Q15" s="195">
        <v>15246</v>
      </c>
      <c r="R15" s="195">
        <v>26940</v>
      </c>
      <c r="S15" s="195">
        <v>25089</v>
      </c>
      <c r="T15" s="195">
        <v>24579</v>
      </c>
      <c r="U15" s="196">
        <f t="shared" si="4"/>
        <v>-2.0327633624297459E-2</v>
      </c>
      <c r="V15" s="195">
        <f t="shared" si="2"/>
        <v>-510</v>
      </c>
      <c r="W15" s="196">
        <f t="shared" si="5"/>
        <v>8.5400090337375348E-2</v>
      </c>
    </row>
    <row r="16" spans="1:23" x14ac:dyDescent="0.25">
      <c r="A16" s="1"/>
      <c r="B16" s="194" t="s">
        <v>125</v>
      </c>
      <c r="C16" s="195">
        <v>137818</v>
      </c>
      <c r="D16" s="195">
        <v>39662</v>
      </c>
      <c r="E16" s="195">
        <v>93209</v>
      </c>
      <c r="F16" s="195">
        <v>169583</v>
      </c>
      <c r="G16" s="195">
        <v>165044</v>
      </c>
      <c r="H16" s="195">
        <v>174675</v>
      </c>
      <c r="I16" s="196">
        <f t="shared" si="3"/>
        <v>5.8354135866799162E-2</v>
      </c>
      <c r="J16" s="195">
        <f t="shared" si="0"/>
        <v>9631</v>
      </c>
      <c r="K16" s="196">
        <f t="shared" si="1"/>
        <v>3.1873371433576388E-2</v>
      </c>
      <c r="L16" s="103"/>
      <c r="N16" s="194" t="s">
        <v>125</v>
      </c>
      <c r="O16" s="195">
        <v>3955</v>
      </c>
      <c r="P16" s="195">
        <v>1273</v>
      </c>
      <c r="Q16" s="195">
        <v>4366</v>
      </c>
      <c r="R16" s="195">
        <v>9965</v>
      </c>
      <c r="S16" s="195">
        <v>8878</v>
      </c>
      <c r="T16" s="195">
        <v>6534</v>
      </c>
      <c r="U16" s="196">
        <f t="shared" si="4"/>
        <v>-0.26402342870015771</v>
      </c>
      <c r="V16" s="195">
        <f t="shared" si="2"/>
        <v>-2344</v>
      </c>
      <c r="W16" s="196">
        <f t="shared" si="5"/>
        <v>2.27024773287933E-2</v>
      </c>
    </row>
    <row r="17" spans="1:23" x14ac:dyDescent="0.25">
      <c r="A17" s="1"/>
      <c r="B17" s="194" t="s">
        <v>121</v>
      </c>
      <c r="C17" s="195">
        <v>133862</v>
      </c>
      <c r="D17" s="195">
        <v>55544</v>
      </c>
      <c r="E17" s="195">
        <v>93337</v>
      </c>
      <c r="F17" s="195">
        <v>146133</v>
      </c>
      <c r="G17" s="195">
        <v>151265</v>
      </c>
      <c r="H17" s="195">
        <v>157483</v>
      </c>
      <c r="I17" s="196">
        <f t="shared" si="3"/>
        <v>4.1106667107394301E-2</v>
      </c>
      <c r="J17" s="195">
        <f t="shared" si="0"/>
        <v>6218</v>
      </c>
      <c r="K17" s="196">
        <f t="shared" si="1"/>
        <v>2.8736305444247375E-2</v>
      </c>
      <c r="L17" s="103"/>
      <c r="N17" s="194" t="s">
        <v>121</v>
      </c>
      <c r="O17" s="195">
        <v>4225</v>
      </c>
      <c r="P17" s="195">
        <v>1935</v>
      </c>
      <c r="Q17" s="195">
        <v>3344</v>
      </c>
      <c r="R17" s="195">
        <v>4569</v>
      </c>
      <c r="S17" s="195">
        <v>5490</v>
      </c>
      <c r="T17" s="195">
        <v>5563</v>
      </c>
      <c r="U17" s="196">
        <f t="shared" si="4"/>
        <v>1.3296903460837894E-2</v>
      </c>
      <c r="V17" s="195">
        <f t="shared" si="2"/>
        <v>73</v>
      </c>
      <c r="W17" s="196">
        <f t="shared" si="5"/>
        <v>1.9328723810847433E-2</v>
      </c>
    </row>
    <row r="18" spans="1:23" x14ac:dyDescent="0.25">
      <c r="A18" s="1"/>
      <c r="B18" s="194" t="s">
        <v>130</v>
      </c>
      <c r="C18" s="195">
        <v>74390</v>
      </c>
      <c r="D18" s="195">
        <v>28784</v>
      </c>
      <c r="E18" s="195">
        <v>25400</v>
      </c>
      <c r="F18" s="195">
        <v>62340</v>
      </c>
      <c r="G18" s="195">
        <v>67966</v>
      </c>
      <c r="H18" s="195">
        <v>63716</v>
      </c>
      <c r="I18" s="196">
        <f t="shared" si="3"/>
        <v>-6.2531265632816413E-2</v>
      </c>
      <c r="J18" s="195">
        <f t="shared" si="0"/>
        <v>-4250</v>
      </c>
      <c r="K18" s="196">
        <f t="shared" si="1"/>
        <v>1.1626413248958082E-2</v>
      </c>
      <c r="L18" s="103"/>
      <c r="N18" s="194" t="s">
        <v>130</v>
      </c>
      <c r="O18" s="195">
        <v>2428</v>
      </c>
      <c r="P18" s="195">
        <v>1979</v>
      </c>
      <c r="Q18" s="195">
        <v>1422</v>
      </c>
      <c r="R18" s="195">
        <v>3324</v>
      </c>
      <c r="S18" s="195">
        <v>3691</v>
      </c>
      <c r="T18" s="195">
        <v>3402</v>
      </c>
      <c r="U18" s="196">
        <f t="shared" si="4"/>
        <v>-7.8298564074776533E-2</v>
      </c>
      <c r="V18" s="195">
        <f t="shared" si="2"/>
        <v>-289</v>
      </c>
      <c r="W18" s="196">
        <f t="shared" si="5"/>
        <v>1.1820298113338661E-2</v>
      </c>
    </row>
    <row r="19" spans="1:23" x14ac:dyDescent="0.25">
      <c r="A19" s="193" t="s">
        <v>146</v>
      </c>
      <c r="B19" s="194" t="s">
        <v>133</v>
      </c>
      <c r="C19" s="195">
        <v>106028</v>
      </c>
      <c r="D19" s="195">
        <v>42711</v>
      </c>
      <c r="E19" s="195">
        <v>22147</v>
      </c>
      <c r="F19" s="195">
        <v>56752</v>
      </c>
      <c r="G19" s="195">
        <v>70972</v>
      </c>
      <c r="H19" s="195">
        <v>68752</v>
      </c>
      <c r="I19" s="196">
        <f t="shared" si="3"/>
        <v>-3.1279941385335075E-2</v>
      </c>
      <c r="J19" s="195">
        <f t="shared" si="0"/>
        <v>-2220</v>
      </c>
      <c r="K19" s="196">
        <f t="shared" si="1"/>
        <v>1.2545344398461392E-2</v>
      </c>
      <c r="L19" s="103"/>
      <c r="N19" s="194" t="s">
        <v>133</v>
      </c>
      <c r="O19" s="195">
        <v>6221</v>
      </c>
      <c r="P19" s="195">
        <v>4050</v>
      </c>
      <c r="Q19" s="195">
        <v>947</v>
      </c>
      <c r="R19" s="195">
        <v>2079</v>
      </c>
      <c r="S19" s="195">
        <v>2885</v>
      </c>
      <c r="T19" s="195">
        <v>2731</v>
      </c>
      <c r="U19" s="196">
        <f t="shared" si="4"/>
        <v>-5.3379549393414161E-2</v>
      </c>
      <c r="V19" s="195">
        <f t="shared" si="2"/>
        <v>-154</v>
      </c>
      <c r="W19" s="196">
        <f t="shared" si="5"/>
        <v>9.4888989263750383E-3</v>
      </c>
    </row>
    <row r="20" spans="1:23" x14ac:dyDescent="0.25">
      <c r="A20" s="198" t="s">
        <v>147</v>
      </c>
      <c r="B20" s="199" t="s">
        <v>147</v>
      </c>
      <c r="C20" s="200">
        <f t="shared" ref="C20:H20" si="6">C12-SUM(C13:C19)</f>
        <v>952849</v>
      </c>
      <c r="D20" s="200">
        <f t="shared" si="6"/>
        <v>308094</v>
      </c>
      <c r="E20" s="200">
        <f t="shared" si="6"/>
        <v>504396</v>
      </c>
      <c r="F20" s="200">
        <f t="shared" si="6"/>
        <v>1000652</v>
      </c>
      <c r="G20" s="200">
        <f t="shared" si="6"/>
        <v>1104537</v>
      </c>
      <c r="H20" s="200">
        <f t="shared" si="6"/>
        <v>1204558</v>
      </c>
      <c r="I20" s="201">
        <f t="shared" si="3"/>
        <v>9.0554684904172511E-2</v>
      </c>
      <c r="J20" s="200">
        <f t="shared" si="0"/>
        <v>100021</v>
      </c>
      <c r="K20" s="201">
        <f t="shared" si="1"/>
        <v>0.21979862342800002</v>
      </c>
      <c r="L20" s="103"/>
      <c r="N20" s="199" t="s">
        <v>147</v>
      </c>
      <c r="O20" s="200">
        <f t="shared" ref="O20:T20" si="7">O12-SUM(O13:O19)</f>
        <v>52520</v>
      </c>
      <c r="P20" s="200">
        <f t="shared" si="7"/>
        <v>21884</v>
      </c>
      <c r="Q20" s="200">
        <f t="shared" si="7"/>
        <v>34040</v>
      </c>
      <c r="R20" s="200">
        <f t="shared" si="7"/>
        <v>68030</v>
      </c>
      <c r="S20" s="200">
        <f t="shared" si="7"/>
        <v>73928</v>
      </c>
      <c r="T20" s="200">
        <f t="shared" si="7"/>
        <v>78195</v>
      </c>
      <c r="U20" s="201">
        <f t="shared" si="4"/>
        <v>5.7718320528081346E-2</v>
      </c>
      <c r="V20" s="200">
        <f>T20-S20</f>
        <v>4267</v>
      </c>
      <c r="W20" s="201">
        <f t="shared" si="5"/>
        <v>0.27168965637052223</v>
      </c>
    </row>
    <row r="21" spans="1:23" x14ac:dyDescent="0.25">
      <c r="B21" s="186" t="s">
        <v>46</v>
      </c>
      <c r="C21" s="184"/>
      <c r="D21" s="184"/>
      <c r="E21" s="184"/>
      <c r="F21" s="184"/>
      <c r="G21" s="184"/>
      <c r="H21" s="185"/>
      <c r="I21" s="185"/>
      <c r="J21" s="185"/>
      <c r="K21" s="184"/>
      <c r="L21" s="202"/>
      <c r="M21" s="202"/>
      <c r="N21" s="202"/>
    </row>
    <row r="22" spans="1:23" x14ac:dyDescent="0.25">
      <c r="B22" s="187" t="s">
        <v>70</v>
      </c>
      <c r="C22" s="188">
        <v>1762715</v>
      </c>
      <c r="D22" s="188">
        <v>550867</v>
      </c>
      <c r="E22" s="188">
        <v>881045</v>
      </c>
      <c r="F22" s="188">
        <v>1757049</v>
      </c>
      <c r="G22" s="188">
        <v>1888332</v>
      </c>
      <c r="H22" s="188">
        <v>1938898</v>
      </c>
      <c r="I22" s="189">
        <f>IFERROR(H22/G22-1,"-")</f>
        <v>2.677813011694985E-2</v>
      </c>
      <c r="J22" s="188">
        <f>H22-G22</f>
        <v>50566</v>
      </c>
      <c r="K22" s="189">
        <f>H22/H$8</f>
        <v>0.35379542651105417</v>
      </c>
      <c r="L22" s="131"/>
      <c r="M22" s="131"/>
      <c r="N22" s="131"/>
    </row>
    <row r="23" spans="1:23" x14ac:dyDescent="0.25">
      <c r="B23" s="190" t="s">
        <v>99</v>
      </c>
      <c r="C23" s="191">
        <v>222987</v>
      </c>
      <c r="D23" s="191">
        <v>117997</v>
      </c>
      <c r="E23" s="191">
        <v>247584</v>
      </c>
      <c r="F23" s="191">
        <v>207208</v>
      </c>
      <c r="G23" s="191">
        <v>181512</v>
      </c>
      <c r="H23" s="191">
        <v>161819</v>
      </c>
      <c r="I23" s="192">
        <f>IFERROR(H23/G23-1,"-")</f>
        <v>-0.10849420423994005</v>
      </c>
      <c r="J23" s="191">
        <f t="shared" ref="J23:J33" si="8">H23-G23</f>
        <v>-19693</v>
      </c>
      <c r="K23" s="192">
        <f>H23/H$8</f>
        <v>2.9527505893859437E-2</v>
      </c>
    </row>
    <row r="24" spans="1:23" x14ac:dyDescent="0.25">
      <c r="B24" s="194" t="s">
        <v>105</v>
      </c>
      <c r="C24" s="195">
        <v>113067</v>
      </c>
      <c r="D24" s="195">
        <v>68476</v>
      </c>
      <c r="E24" s="195">
        <v>126666</v>
      </c>
      <c r="F24" s="195">
        <v>86811</v>
      </c>
      <c r="G24" s="195">
        <v>75374</v>
      </c>
      <c r="H24" s="195">
        <v>60650</v>
      </c>
      <c r="I24" s="196">
        <f>IFERROR(H24/G24-1,"-")</f>
        <v>-0.19534587523549229</v>
      </c>
      <c r="J24" s="195">
        <f t="shared" si="8"/>
        <v>-14724</v>
      </c>
      <c r="K24" s="196">
        <f>H24/H$8</f>
        <v>1.1066952783434423E-2</v>
      </c>
    </row>
    <row r="25" spans="1:23" x14ac:dyDescent="0.25">
      <c r="B25" s="194" t="s">
        <v>102</v>
      </c>
      <c r="C25" s="195">
        <v>109920</v>
      </c>
      <c r="D25" s="195">
        <v>49521</v>
      </c>
      <c r="E25" s="195">
        <v>120918</v>
      </c>
      <c r="F25" s="195">
        <v>120397</v>
      </c>
      <c r="G25" s="195">
        <v>106138</v>
      </c>
      <c r="H25" s="195">
        <v>101169</v>
      </c>
      <c r="I25" s="196">
        <f>IFERROR(H25/G25-1,"-")</f>
        <v>-4.6816408826245048E-2</v>
      </c>
      <c r="J25" s="195">
        <f t="shared" si="8"/>
        <v>-4969</v>
      </c>
      <c r="K25" s="196">
        <f>H25/H$8</f>
        <v>1.8460553110425014E-2</v>
      </c>
    </row>
    <row r="26" spans="1:23" x14ac:dyDescent="0.25">
      <c r="B26" s="190" t="s">
        <v>109</v>
      </c>
      <c r="C26" s="191">
        <v>1539728</v>
      </c>
      <c r="D26" s="191">
        <v>432870</v>
      </c>
      <c r="E26" s="191">
        <v>633461</v>
      </c>
      <c r="F26" s="191">
        <v>1549841</v>
      </c>
      <c r="G26" s="191">
        <v>1706820</v>
      </c>
      <c r="H26" s="191">
        <v>1777079</v>
      </c>
      <c r="I26" s="192">
        <f>IFERROR(H26/G26-1,"-")</f>
        <v>4.1163684512719456E-2</v>
      </c>
      <c r="J26" s="191">
        <f t="shared" si="8"/>
        <v>70259</v>
      </c>
      <c r="K26" s="192">
        <f>H26/H$8</f>
        <v>0.32426792061719473</v>
      </c>
    </row>
    <row r="27" spans="1:23" x14ac:dyDescent="0.25">
      <c r="B27" s="194" t="s">
        <v>112</v>
      </c>
      <c r="C27" s="195">
        <v>757594</v>
      </c>
      <c r="D27" s="195">
        <v>187852</v>
      </c>
      <c r="E27" s="195">
        <v>208305</v>
      </c>
      <c r="F27" s="195">
        <v>783677</v>
      </c>
      <c r="G27" s="195">
        <v>883653</v>
      </c>
      <c r="H27" s="195">
        <v>930359</v>
      </c>
      <c r="I27" s="196">
        <f t="shared" ref="I27:I34" si="9">IFERROR(H27/G27-1,"-")</f>
        <v>5.2855589241478373E-2</v>
      </c>
      <c r="J27" s="195">
        <f t="shared" si="8"/>
        <v>46706</v>
      </c>
      <c r="K27" s="196">
        <f t="shared" ref="K27:K34" si="10">H27/H$8</f>
        <v>0.16976486602874305</v>
      </c>
    </row>
    <row r="28" spans="1:23" x14ac:dyDescent="0.25">
      <c r="B28" s="194" t="s">
        <v>115</v>
      </c>
      <c r="C28" s="195">
        <v>201016</v>
      </c>
      <c r="D28" s="195">
        <v>57141</v>
      </c>
      <c r="E28" s="195">
        <v>103865</v>
      </c>
      <c r="F28" s="195">
        <v>169299</v>
      </c>
      <c r="G28" s="195">
        <v>182538</v>
      </c>
      <c r="H28" s="195">
        <v>183463</v>
      </c>
      <c r="I28" s="196">
        <f t="shared" si="9"/>
        <v>5.0674380129069885E-3</v>
      </c>
      <c r="J28" s="195">
        <f t="shared" si="8"/>
        <v>925</v>
      </c>
      <c r="K28" s="196">
        <f t="shared" si="10"/>
        <v>3.3476939134496779E-2</v>
      </c>
    </row>
    <row r="29" spans="1:23" x14ac:dyDescent="0.25">
      <c r="B29" s="194" t="s">
        <v>118</v>
      </c>
      <c r="C29" s="195">
        <v>52571</v>
      </c>
      <c r="D29" s="195">
        <v>20504</v>
      </c>
      <c r="E29" s="195">
        <v>42447</v>
      </c>
      <c r="F29" s="195">
        <v>63176</v>
      </c>
      <c r="G29" s="195">
        <v>65334</v>
      </c>
      <c r="H29" s="195">
        <v>57978</v>
      </c>
      <c r="I29" s="196">
        <f t="shared" si="9"/>
        <v>-0.11259068785012394</v>
      </c>
      <c r="J29" s="195">
        <f t="shared" si="8"/>
        <v>-7356</v>
      </c>
      <c r="K29" s="196">
        <f t="shared" si="10"/>
        <v>1.0579386454706694E-2</v>
      </c>
    </row>
    <row r="30" spans="1:23" x14ac:dyDescent="0.25">
      <c r="B30" s="194" t="s">
        <v>125</v>
      </c>
      <c r="C30" s="195">
        <v>61428</v>
      </c>
      <c r="D30" s="195">
        <v>17078</v>
      </c>
      <c r="E30" s="195">
        <v>41550</v>
      </c>
      <c r="F30" s="195">
        <v>75901</v>
      </c>
      <c r="G30" s="195">
        <v>70878</v>
      </c>
      <c r="H30" s="195">
        <v>71598</v>
      </c>
      <c r="I30" s="196">
        <f t="shared" si="9"/>
        <v>1.0158300177770307E-2</v>
      </c>
      <c r="J30" s="195">
        <f t="shared" si="8"/>
        <v>720</v>
      </c>
      <c r="K30" s="196">
        <f t="shared" si="10"/>
        <v>1.3064660929733518E-2</v>
      </c>
    </row>
    <row r="31" spans="1:23" x14ac:dyDescent="0.25">
      <c r="B31" s="194" t="s">
        <v>121</v>
      </c>
      <c r="C31" s="195">
        <v>70272</v>
      </c>
      <c r="D31" s="195">
        <v>28980</v>
      </c>
      <c r="E31" s="195">
        <v>51893</v>
      </c>
      <c r="F31" s="195">
        <v>82793</v>
      </c>
      <c r="G31" s="195">
        <v>80226</v>
      </c>
      <c r="H31" s="195">
        <v>81717</v>
      </c>
      <c r="I31" s="196">
        <f t="shared" si="9"/>
        <v>1.858499738239483E-2</v>
      </c>
      <c r="J31" s="195">
        <f t="shared" si="8"/>
        <v>1491</v>
      </c>
      <c r="K31" s="196">
        <f t="shared" si="10"/>
        <v>1.4911099432875692E-2</v>
      </c>
    </row>
    <row r="32" spans="1:23" x14ac:dyDescent="0.25">
      <c r="B32" s="194" t="s">
        <v>130</v>
      </c>
      <c r="C32" s="195">
        <v>30964</v>
      </c>
      <c r="D32" s="195">
        <v>11625</v>
      </c>
      <c r="E32" s="195">
        <v>7603</v>
      </c>
      <c r="F32" s="195">
        <v>22864</v>
      </c>
      <c r="G32" s="195">
        <v>24590</v>
      </c>
      <c r="H32" s="195">
        <v>24160</v>
      </c>
      <c r="I32" s="196">
        <f t="shared" si="9"/>
        <v>-1.7486783245221682E-2</v>
      </c>
      <c r="J32" s="195">
        <f t="shared" si="8"/>
        <v>-430</v>
      </c>
      <c r="K32" s="196">
        <f t="shared" si="10"/>
        <v>4.4085338705321629E-3</v>
      </c>
    </row>
    <row r="33" spans="2:14" x14ac:dyDescent="0.25">
      <c r="B33" s="194" t="s">
        <v>133</v>
      </c>
      <c r="C33" s="195">
        <v>35546</v>
      </c>
      <c r="D33" s="195">
        <v>13377</v>
      </c>
      <c r="E33" s="195">
        <v>5465</v>
      </c>
      <c r="F33" s="195">
        <v>19705</v>
      </c>
      <c r="G33" s="195">
        <v>25667</v>
      </c>
      <c r="H33" s="195">
        <v>23273</v>
      </c>
      <c r="I33" s="196">
        <f t="shared" si="9"/>
        <v>-9.3271515954338247E-2</v>
      </c>
      <c r="J33" s="195">
        <f t="shared" si="8"/>
        <v>-2394</v>
      </c>
      <c r="K33" s="196">
        <f t="shared" si="10"/>
        <v>4.2466808265271116E-3</v>
      </c>
    </row>
    <row r="34" spans="2:14" x14ac:dyDescent="0.25">
      <c r="B34" s="199" t="s">
        <v>147</v>
      </c>
      <c r="C34" s="200">
        <f t="shared" ref="C34:H34" si="11">C26-SUM(C27:C33)</f>
        <v>330337</v>
      </c>
      <c r="D34" s="200">
        <f t="shared" si="11"/>
        <v>96313</v>
      </c>
      <c r="E34" s="200">
        <f t="shared" si="11"/>
        <v>172333</v>
      </c>
      <c r="F34" s="200">
        <f t="shared" si="11"/>
        <v>332426</v>
      </c>
      <c r="G34" s="200">
        <f t="shared" si="11"/>
        <v>373934</v>
      </c>
      <c r="H34" s="200">
        <f t="shared" si="11"/>
        <v>404531</v>
      </c>
      <c r="I34" s="201">
        <f t="shared" si="9"/>
        <v>8.1824600063112651E-2</v>
      </c>
      <c r="J34" s="200">
        <f>H34-G34</f>
        <v>30597</v>
      </c>
      <c r="K34" s="201">
        <f t="shared" si="10"/>
        <v>7.3815753939579731E-2</v>
      </c>
    </row>
    <row r="35" spans="2:14" x14ac:dyDescent="0.25">
      <c r="B35" s="186" t="s">
        <v>47</v>
      </c>
      <c r="C35" s="184"/>
      <c r="D35" s="184"/>
      <c r="E35" s="184"/>
      <c r="F35" s="184"/>
      <c r="G35" s="184"/>
      <c r="H35" s="185"/>
      <c r="I35" s="185"/>
      <c r="J35" s="185"/>
      <c r="K35" s="184"/>
      <c r="L35" s="202"/>
      <c r="M35" s="202"/>
      <c r="N35" s="202"/>
    </row>
    <row r="36" spans="2:14" x14ac:dyDescent="0.25">
      <c r="B36" s="187" t="s">
        <v>70</v>
      </c>
      <c r="C36" s="188">
        <v>1299411</v>
      </c>
      <c r="D36" s="188">
        <v>375345</v>
      </c>
      <c r="E36" s="188">
        <v>492258</v>
      </c>
      <c r="F36" s="188">
        <v>1243535</v>
      </c>
      <c r="G36" s="188">
        <v>1319978</v>
      </c>
      <c r="H36" s="188">
        <v>1387823</v>
      </c>
      <c r="I36" s="189">
        <f>IFERROR(H36/G36-1,"-")</f>
        <v>5.139858391579244E-2</v>
      </c>
      <c r="J36" s="188">
        <f>H36-G36</f>
        <v>67845</v>
      </c>
      <c r="K36" s="189">
        <f>H36/H$8</f>
        <v>0.2532394330216704</v>
      </c>
      <c r="L36" s="131"/>
      <c r="M36" s="131"/>
      <c r="N36" s="131"/>
    </row>
    <row r="37" spans="2:14" x14ac:dyDescent="0.25">
      <c r="B37" s="190" t="s">
        <v>99</v>
      </c>
      <c r="C37" s="191">
        <v>127819</v>
      </c>
      <c r="D37" s="191">
        <v>51760</v>
      </c>
      <c r="E37" s="191">
        <v>83468</v>
      </c>
      <c r="F37" s="191">
        <v>123951</v>
      </c>
      <c r="G37" s="191">
        <v>118966</v>
      </c>
      <c r="H37" s="191">
        <v>114660</v>
      </c>
      <c r="I37" s="192">
        <f>IFERROR(H37/G37-1,"-")</f>
        <v>-3.6195215439705497E-2</v>
      </c>
      <c r="J37" s="191">
        <f t="shared" ref="J37:J47" si="12">H37-G37</f>
        <v>-4306</v>
      </c>
      <c r="K37" s="192">
        <f>H37/H$8</f>
        <v>2.0922288642186166E-2</v>
      </c>
    </row>
    <row r="38" spans="2:14" x14ac:dyDescent="0.25">
      <c r="B38" s="194" t="s">
        <v>105</v>
      </c>
      <c r="C38" s="195">
        <v>51328</v>
      </c>
      <c r="D38" s="195">
        <v>24912</v>
      </c>
      <c r="E38" s="195">
        <v>43482</v>
      </c>
      <c r="F38" s="195">
        <v>48094</v>
      </c>
      <c r="G38" s="195">
        <v>51902</v>
      </c>
      <c r="H38" s="195">
        <v>50245</v>
      </c>
      <c r="I38" s="196">
        <f>IFERROR(H38/G38-1,"-")</f>
        <v>-3.1925552001849655E-2</v>
      </c>
      <c r="J38" s="195">
        <f t="shared" si="12"/>
        <v>-1657</v>
      </c>
      <c r="K38" s="196">
        <f>H38/H$8</f>
        <v>9.1683271657652526E-3</v>
      </c>
    </row>
    <row r="39" spans="2:14" x14ac:dyDescent="0.25">
      <c r="B39" s="194" t="s">
        <v>102</v>
      </c>
      <c r="C39" s="195">
        <v>76491</v>
      </c>
      <c r="D39" s="195">
        <v>26848</v>
      </c>
      <c r="E39" s="195">
        <v>39986</v>
      </c>
      <c r="F39" s="195">
        <v>75857</v>
      </c>
      <c r="G39" s="195">
        <v>67064</v>
      </c>
      <c r="H39" s="195">
        <v>64415</v>
      </c>
      <c r="I39" s="196">
        <f>IFERROR(H39/G39-1,"-")</f>
        <v>-3.9499582488369267E-2</v>
      </c>
      <c r="J39" s="195">
        <f t="shared" si="12"/>
        <v>-2649</v>
      </c>
      <c r="K39" s="196">
        <f>H39/H$8</f>
        <v>1.1753961476420913E-2</v>
      </c>
    </row>
    <row r="40" spans="2:14" x14ac:dyDescent="0.25">
      <c r="B40" s="190" t="s">
        <v>109</v>
      </c>
      <c r="C40" s="191">
        <v>1171592</v>
      </c>
      <c r="D40" s="191">
        <v>323585</v>
      </c>
      <c r="E40" s="191">
        <v>408790</v>
      </c>
      <c r="F40" s="191">
        <v>1119584</v>
      </c>
      <c r="G40" s="191">
        <v>1201012</v>
      </c>
      <c r="H40" s="191">
        <v>1273163</v>
      </c>
      <c r="I40" s="192">
        <f>IFERROR(H40/G40-1,"-")</f>
        <v>6.007516994001727E-2</v>
      </c>
      <c r="J40" s="191">
        <f t="shared" si="12"/>
        <v>72151</v>
      </c>
      <c r="K40" s="192">
        <f>H40/H$8</f>
        <v>0.23231714437948425</v>
      </c>
    </row>
    <row r="41" spans="2:14" x14ac:dyDescent="0.25">
      <c r="B41" s="194" t="s">
        <v>112</v>
      </c>
      <c r="C41" s="195">
        <v>640459</v>
      </c>
      <c r="D41" s="195">
        <v>146501</v>
      </c>
      <c r="E41" s="195">
        <v>142606</v>
      </c>
      <c r="F41" s="195">
        <v>581865</v>
      </c>
      <c r="G41" s="195">
        <v>634691</v>
      </c>
      <c r="H41" s="195">
        <v>683651</v>
      </c>
      <c r="I41" s="196">
        <f t="shared" ref="I41:I48" si="13">IFERROR(H41/G41-1,"-")</f>
        <v>7.7139899573178239E-2</v>
      </c>
      <c r="J41" s="195">
        <f t="shared" si="12"/>
        <v>48960</v>
      </c>
      <c r="K41" s="196">
        <f t="shared" ref="K41:K48" si="14">H41/H$8</f>
        <v>0.12474745815907216</v>
      </c>
    </row>
    <row r="42" spans="2:14" x14ac:dyDescent="0.25">
      <c r="B42" s="194" t="s">
        <v>115</v>
      </c>
      <c r="C42" s="195">
        <v>52401</v>
      </c>
      <c r="D42" s="195">
        <v>16159</v>
      </c>
      <c r="E42" s="195">
        <v>21846</v>
      </c>
      <c r="F42" s="195">
        <v>39072</v>
      </c>
      <c r="G42" s="195">
        <v>45133</v>
      </c>
      <c r="H42" s="195">
        <v>44501</v>
      </c>
      <c r="I42" s="196">
        <f t="shared" si="13"/>
        <v>-1.4003057629672355E-2</v>
      </c>
      <c r="J42" s="195">
        <f t="shared" si="12"/>
        <v>-632</v>
      </c>
      <c r="K42" s="196">
        <f t="shared" si="14"/>
        <v>8.1202055369433684E-3</v>
      </c>
    </row>
    <row r="43" spans="2:14" x14ac:dyDescent="0.25">
      <c r="B43" s="194" t="s">
        <v>118</v>
      </c>
      <c r="C43" s="195">
        <v>24405</v>
      </c>
      <c r="D43" s="195">
        <v>9702</v>
      </c>
      <c r="E43" s="195">
        <v>19919</v>
      </c>
      <c r="F43" s="195">
        <v>27268</v>
      </c>
      <c r="G43" s="195">
        <v>28898</v>
      </c>
      <c r="H43" s="195">
        <v>29098</v>
      </c>
      <c r="I43" s="196">
        <f t="shared" si="13"/>
        <v>6.9208941795280143E-3</v>
      </c>
      <c r="J43" s="195">
        <f t="shared" si="12"/>
        <v>200</v>
      </c>
      <c r="K43" s="196">
        <f t="shared" si="14"/>
        <v>5.3095827220506981E-3</v>
      </c>
    </row>
    <row r="44" spans="2:14" x14ac:dyDescent="0.25">
      <c r="B44" s="194" t="s">
        <v>125</v>
      </c>
      <c r="C44" s="195">
        <v>53890</v>
      </c>
      <c r="D44" s="195">
        <v>15410</v>
      </c>
      <c r="E44" s="195">
        <v>30677</v>
      </c>
      <c r="F44" s="195">
        <v>57015</v>
      </c>
      <c r="G44" s="195">
        <v>55478</v>
      </c>
      <c r="H44" s="195">
        <v>57898</v>
      </c>
      <c r="I44" s="196">
        <f t="shared" si="13"/>
        <v>4.3620894769097696E-2</v>
      </c>
      <c r="J44" s="195">
        <f t="shared" si="12"/>
        <v>2420</v>
      </c>
      <c r="K44" s="196">
        <f t="shared" si="14"/>
        <v>1.0564788660433408E-2</v>
      </c>
    </row>
    <row r="45" spans="2:14" x14ac:dyDescent="0.25">
      <c r="B45" s="194" t="s">
        <v>121</v>
      </c>
      <c r="C45" s="195">
        <v>41202</v>
      </c>
      <c r="D45" s="195">
        <v>15534</v>
      </c>
      <c r="E45" s="195">
        <v>22807</v>
      </c>
      <c r="F45" s="195">
        <v>38767</v>
      </c>
      <c r="G45" s="195">
        <v>44187</v>
      </c>
      <c r="H45" s="195">
        <v>44633</v>
      </c>
      <c r="I45" s="196">
        <f t="shared" si="13"/>
        <v>1.0093466404146101E-2</v>
      </c>
      <c r="J45" s="195">
        <f t="shared" si="12"/>
        <v>446</v>
      </c>
      <c r="K45" s="196">
        <f t="shared" si="14"/>
        <v>8.1442918974942886E-3</v>
      </c>
    </row>
    <row r="46" spans="2:14" x14ac:dyDescent="0.25">
      <c r="B46" s="194" t="s">
        <v>130</v>
      </c>
      <c r="C46" s="195">
        <v>26919</v>
      </c>
      <c r="D46" s="195">
        <v>9750</v>
      </c>
      <c r="E46" s="195">
        <v>10533</v>
      </c>
      <c r="F46" s="195">
        <v>22457</v>
      </c>
      <c r="G46" s="195">
        <v>23505</v>
      </c>
      <c r="H46" s="195">
        <v>22219</v>
      </c>
      <c r="I46" s="196">
        <f t="shared" si="13"/>
        <v>-5.4711763454584172E-2</v>
      </c>
      <c r="J46" s="195">
        <f t="shared" si="12"/>
        <v>-1286</v>
      </c>
      <c r="K46" s="196">
        <f t="shared" si="14"/>
        <v>4.0543548869765777E-3</v>
      </c>
    </row>
    <row r="47" spans="2:14" x14ac:dyDescent="0.25">
      <c r="B47" s="194" t="s">
        <v>133</v>
      </c>
      <c r="C47" s="195">
        <v>42509</v>
      </c>
      <c r="D47" s="195">
        <v>16737</v>
      </c>
      <c r="E47" s="195">
        <v>10472</v>
      </c>
      <c r="F47" s="195">
        <v>22560</v>
      </c>
      <c r="G47" s="195">
        <v>26526</v>
      </c>
      <c r="H47" s="195">
        <v>24735</v>
      </c>
      <c r="I47" s="196">
        <f t="shared" si="13"/>
        <v>-6.7518660936439767E-2</v>
      </c>
      <c r="J47" s="195">
        <f t="shared" si="12"/>
        <v>-1791</v>
      </c>
      <c r="K47" s="196">
        <f t="shared" si="14"/>
        <v>4.5134555168714011E-3</v>
      </c>
    </row>
    <row r="48" spans="2:14" x14ac:dyDescent="0.25">
      <c r="B48" s="199" t="s">
        <v>147</v>
      </c>
      <c r="C48" s="200">
        <f t="shared" ref="C48:H48" si="15">C40-SUM(C41:C47)</f>
        <v>289807</v>
      </c>
      <c r="D48" s="200">
        <f t="shared" si="15"/>
        <v>93792</v>
      </c>
      <c r="E48" s="200">
        <f t="shared" si="15"/>
        <v>149930</v>
      </c>
      <c r="F48" s="200">
        <f t="shared" si="15"/>
        <v>330580</v>
      </c>
      <c r="G48" s="200">
        <f t="shared" si="15"/>
        <v>342594</v>
      </c>
      <c r="H48" s="200">
        <f t="shared" si="15"/>
        <v>366428</v>
      </c>
      <c r="I48" s="201">
        <f t="shared" si="13"/>
        <v>6.9569227715605031E-2</v>
      </c>
      <c r="J48" s="200">
        <f>H48-G48</f>
        <v>23834</v>
      </c>
      <c r="K48" s="201">
        <f t="shared" si="14"/>
        <v>6.6863006999642358E-2</v>
      </c>
    </row>
    <row r="49" spans="2:14" x14ac:dyDescent="0.25">
      <c r="B49" s="186" t="s">
        <v>48</v>
      </c>
      <c r="C49" s="184"/>
      <c r="D49" s="184"/>
      <c r="E49" s="184"/>
      <c r="F49" s="184"/>
      <c r="G49" s="184"/>
      <c r="H49" s="185"/>
      <c r="I49" s="185"/>
      <c r="J49" s="185"/>
      <c r="K49" s="184"/>
      <c r="L49" s="202"/>
      <c r="M49" s="202"/>
      <c r="N49" s="202"/>
    </row>
    <row r="50" spans="2:14" x14ac:dyDescent="0.25">
      <c r="B50" s="187" t="s">
        <v>70</v>
      </c>
      <c r="C50" s="188">
        <v>45076</v>
      </c>
      <c r="D50" s="188">
        <v>12633</v>
      </c>
      <c r="E50" s="188">
        <v>20161</v>
      </c>
      <c r="F50" s="188">
        <v>37751</v>
      </c>
      <c r="G50" s="188">
        <v>51166</v>
      </c>
      <c r="H50" s="188">
        <v>43737</v>
      </c>
      <c r="I50" s="189">
        <f>IFERROR(H50/G50-1,"-")</f>
        <v>-0.14519407418989172</v>
      </c>
      <c r="J50" s="188">
        <f>H50-G50</f>
        <v>-7429</v>
      </c>
      <c r="K50" s="189">
        <f>H50/H$8</f>
        <v>7.9807966016334931E-3</v>
      </c>
      <c r="L50" s="131"/>
      <c r="M50" s="131"/>
      <c r="N50" s="131"/>
    </row>
    <row r="51" spans="2:14" x14ac:dyDescent="0.25">
      <c r="B51" s="190" t="s">
        <v>99</v>
      </c>
      <c r="C51" s="191">
        <v>10509</v>
      </c>
      <c r="D51" s="191">
        <v>2339</v>
      </c>
      <c r="E51" s="191">
        <v>4950</v>
      </c>
      <c r="F51" s="191">
        <v>6762</v>
      </c>
      <c r="G51" s="191">
        <v>20250</v>
      </c>
      <c r="H51" s="191">
        <v>11054</v>
      </c>
      <c r="I51" s="192">
        <f>IFERROR(H51/G51-1,"-")</f>
        <v>-0.45412345679012345</v>
      </c>
      <c r="J51" s="191">
        <f t="shared" ref="J51:J61" si="16">H51-G51</f>
        <v>-9196</v>
      </c>
      <c r="K51" s="192">
        <f>H51/H$8</f>
        <v>2.0170502237111974E-3</v>
      </c>
    </row>
    <row r="52" spans="2:14" x14ac:dyDescent="0.25">
      <c r="B52" s="194" t="s">
        <v>105</v>
      </c>
      <c r="C52" s="195">
        <v>5944</v>
      </c>
      <c r="D52" s="195">
        <v>1658</v>
      </c>
      <c r="E52" s="195">
        <v>2415</v>
      </c>
      <c r="F52" s="195">
        <v>3515</v>
      </c>
      <c r="G52" s="195">
        <v>14811</v>
      </c>
      <c r="H52" s="195">
        <v>7251</v>
      </c>
      <c r="I52" s="196">
        <f>IFERROR(H52/G52-1,"-")</f>
        <v>-0.51043143609479436</v>
      </c>
      <c r="J52" s="195">
        <f t="shared" si="16"/>
        <v>-7560</v>
      </c>
      <c r="K52" s="196">
        <f>H52/H$8</f>
        <v>1.323107578444897E-3</v>
      </c>
    </row>
    <row r="53" spans="2:14" x14ac:dyDescent="0.25">
      <c r="B53" s="194" t="s">
        <v>102</v>
      </c>
      <c r="C53" s="195">
        <v>4565</v>
      </c>
      <c r="D53" s="195">
        <v>681</v>
      </c>
      <c r="E53" s="195">
        <v>2535</v>
      </c>
      <c r="F53" s="195">
        <v>3247</v>
      </c>
      <c r="G53" s="195">
        <v>5439</v>
      </c>
      <c r="H53" s="195">
        <v>3803</v>
      </c>
      <c r="I53" s="196">
        <f>IFERROR(H53/G53-1,"-")</f>
        <v>-0.30079058650487223</v>
      </c>
      <c r="J53" s="195">
        <f t="shared" si="16"/>
        <v>-1636</v>
      </c>
      <c r="K53" s="196">
        <f>H53/H$8</f>
        <v>6.9394264526630026E-4</v>
      </c>
    </row>
    <row r="54" spans="2:14" x14ac:dyDescent="0.25">
      <c r="B54" s="190" t="s">
        <v>109</v>
      </c>
      <c r="C54" s="191">
        <v>34567</v>
      </c>
      <c r="D54" s="191">
        <v>10294</v>
      </c>
      <c r="E54" s="191">
        <v>15211</v>
      </c>
      <c r="F54" s="191">
        <v>30989</v>
      </c>
      <c r="G54" s="191">
        <v>30916</v>
      </c>
      <c r="H54" s="191">
        <v>32683</v>
      </c>
      <c r="I54" s="192">
        <f>IFERROR(H54/G54-1,"-")</f>
        <v>5.7154871264070373E-2</v>
      </c>
      <c r="J54" s="191">
        <f t="shared" si="16"/>
        <v>1767</v>
      </c>
      <c r="K54" s="192">
        <f>H54/H$8</f>
        <v>5.9637463779222957E-3</v>
      </c>
    </row>
    <row r="55" spans="2:14" x14ac:dyDescent="0.25">
      <c r="B55" s="194" t="s">
        <v>112</v>
      </c>
      <c r="C55" s="195">
        <v>10275</v>
      </c>
      <c r="D55" s="195">
        <v>3060</v>
      </c>
      <c r="E55" s="195">
        <v>3030</v>
      </c>
      <c r="F55" s="195">
        <v>10352</v>
      </c>
      <c r="G55" s="195">
        <v>9308</v>
      </c>
      <c r="H55" s="195">
        <v>11037</v>
      </c>
      <c r="I55" s="196">
        <f t="shared" ref="I55:I62" si="17">IFERROR(H55/G55-1,"-")</f>
        <v>0.18575418994413417</v>
      </c>
      <c r="J55" s="195">
        <f t="shared" si="16"/>
        <v>1729</v>
      </c>
      <c r="K55" s="196">
        <f t="shared" ref="K55:K62" si="18">H55/H$8</f>
        <v>2.013948192428124E-3</v>
      </c>
    </row>
    <row r="56" spans="2:14" x14ac:dyDescent="0.25">
      <c r="B56" s="194" t="s">
        <v>115</v>
      </c>
      <c r="C56" s="195">
        <v>9881</v>
      </c>
      <c r="D56" s="195">
        <v>2874</v>
      </c>
      <c r="E56" s="195">
        <v>5150</v>
      </c>
      <c r="F56" s="195">
        <v>6811</v>
      </c>
      <c r="G56" s="195">
        <v>6211</v>
      </c>
      <c r="H56" s="195">
        <v>6595</v>
      </c>
      <c r="I56" s="196">
        <f t="shared" si="17"/>
        <v>6.1825792947995506E-2</v>
      </c>
      <c r="J56" s="195">
        <f t="shared" si="16"/>
        <v>384</v>
      </c>
      <c r="K56" s="196">
        <f t="shared" si="18"/>
        <v>1.2034056654039575E-3</v>
      </c>
    </row>
    <row r="57" spans="2:14" x14ac:dyDescent="0.25">
      <c r="B57" s="194" t="s">
        <v>118</v>
      </c>
      <c r="C57" s="195">
        <v>2186</v>
      </c>
      <c r="D57" s="195">
        <v>544</v>
      </c>
      <c r="E57" s="195">
        <v>1642</v>
      </c>
      <c r="F57" s="195">
        <v>2746</v>
      </c>
      <c r="G57" s="195">
        <v>2942</v>
      </c>
      <c r="H57" s="195">
        <v>2300</v>
      </c>
      <c r="I57" s="196">
        <f t="shared" si="17"/>
        <v>-0.21821889870836164</v>
      </c>
      <c r="J57" s="195">
        <f t="shared" si="16"/>
        <v>-642</v>
      </c>
      <c r="K57" s="196">
        <f t="shared" si="18"/>
        <v>4.1968658535695259E-4</v>
      </c>
    </row>
    <row r="58" spans="2:14" x14ac:dyDescent="0.25">
      <c r="B58" s="194" t="s">
        <v>125</v>
      </c>
      <c r="C58" s="195">
        <v>731</v>
      </c>
      <c r="D58" s="195">
        <v>284</v>
      </c>
      <c r="E58" s="195">
        <v>377</v>
      </c>
      <c r="F58" s="195">
        <v>868</v>
      </c>
      <c r="G58" s="195">
        <v>832</v>
      </c>
      <c r="H58" s="195">
        <v>1093</v>
      </c>
      <c r="I58" s="196">
        <f t="shared" si="17"/>
        <v>0.31370192307692313</v>
      </c>
      <c r="J58" s="195">
        <f t="shared" si="16"/>
        <v>261</v>
      </c>
      <c r="K58" s="196">
        <f t="shared" si="18"/>
        <v>1.994423642587605E-4</v>
      </c>
    </row>
    <row r="59" spans="2:14" x14ac:dyDescent="0.25">
      <c r="B59" s="194" t="s">
        <v>121</v>
      </c>
      <c r="C59" s="195">
        <v>686</v>
      </c>
      <c r="D59" s="195">
        <v>229</v>
      </c>
      <c r="E59" s="195">
        <v>476</v>
      </c>
      <c r="F59" s="195">
        <v>657</v>
      </c>
      <c r="G59" s="195">
        <v>709</v>
      </c>
      <c r="H59" s="195">
        <v>810</v>
      </c>
      <c r="I59" s="196">
        <f t="shared" si="17"/>
        <v>0.14245416078984485</v>
      </c>
      <c r="J59" s="195">
        <f t="shared" si="16"/>
        <v>101</v>
      </c>
      <c r="K59" s="196">
        <f t="shared" si="18"/>
        <v>1.4780266701701372E-4</v>
      </c>
    </row>
    <row r="60" spans="2:14" x14ac:dyDescent="0.25">
      <c r="B60" s="194" t="s">
        <v>130</v>
      </c>
      <c r="C60" s="195">
        <v>281</v>
      </c>
      <c r="D60" s="195">
        <v>136</v>
      </c>
      <c r="E60" s="195">
        <v>98</v>
      </c>
      <c r="F60" s="195">
        <v>136</v>
      </c>
      <c r="G60" s="195">
        <v>243</v>
      </c>
      <c r="H60" s="195">
        <v>141</v>
      </c>
      <c r="I60" s="196">
        <f t="shared" si="17"/>
        <v>-0.41975308641975306</v>
      </c>
      <c r="J60" s="195">
        <f t="shared" si="16"/>
        <v>-102</v>
      </c>
      <c r="K60" s="196">
        <f t="shared" si="18"/>
        <v>2.5728612406665352E-5</v>
      </c>
    </row>
    <row r="61" spans="2:14" x14ac:dyDescent="0.25">
      <c r="B61" s="194" t="s">
        <v>133</v>
      </c>
      <c r="C61" s="195">
        <v>591</v>
      </c>
      <c r="D61" s="195">
        <v>217</v>
      </c>
      <c r="E61" s="195">
        <v>91</v>
      </c>
      <c r="F61" s="195">
        <v>153</v>
      </c>
      <c r="G61" s="195">
        <v>195</v>
      </c>
      <c r="H61" s="195">
        <v>156</v>
      </c>
      <c r="I61" s="196">
        <f t="shared" si="17"/>
        <v>-0.19999999999999996</v>
      </c>
      <c r="J61" s="195">
        <f t="shared" si="16"/>
        <v>-39</v>
      </c>
      <c r="K61" s="196">
        <f t="shared" si="18"/>
        <v>2.8465698832906347E-5</v>
      </c>
    </row>
    <row r="62" spans="2:14" x14ac:dyDescent="0.25">
      <c r="B62" s="199" t="s">
        <v>147</v>
      </c>
      <c r="C62" s="200">
        <f t="shared" ref="C62:H62" si="19">C54-SUM(C55:C61)</f>
        <v>9936</v>
      </c>
      <c r="D62" s="200">
        <f t="shared" si="19"/>
        <v>2950</v>
      </c>
      <c r="E62" s="200">
        <f t="shared" si="19"/>
        <v>4347</v>
      </c>
      <c r="F62" s="200">
        <f t="shared" si="19"/>
        <v>9266</v>
      </c>
      <c r="G62" s="200">
        <f t="shared" si="19"/>
        <v>10476</v>
      </c>
      <c r="H62" s="200">
        <f t="shared" si="19"/>
        <v>10551</v>
      </c>
      <c r="I62" s="201">
        <f t="shared" si="17"/>
        <v>7.1592210767468245E-3</v>
      </c>
      <c r="J62" s="200">
        <f>H62-G62</f>
        <v>75</v>
      </c>
      <c r="K62" s="201">
        <f t="shared" si="18"/>
        <v>1.9252665922179159E-3</v>
      </c>
    </row>
    <row r="63" spans="2:14" x14ac:dyDescent="0.25">
      <c r="B63" s="186" t="s">
        <v>49</v>
      </c>
      <c r="C63" s="184"/>
      <c r="D63" s="184"/>
      <c r="E63" s="184"/>
      <c r="F63" s="184"/>
      <c r="G63" s="184"/>
      <c r="H63" s="185"/>
      <c r="I63" s="185"/>
      <c r="J63" s="185"/>
      <c r="K63" s="184"/>
      <c r="L63" s="202"/>
      <c r="M63" s="202"/>
      <c r="N63" s="202"/>
    </row>
    <row r="64" spans="2:14" x14ac:dyDescent="0.25">
      <c r="B64" s="187" t="s">
        <v>70</v>
      </c>
      <c r="C64" s="188">
        <v>137126</v>
      </c>
      <c r="D64" s="188">
        <v>55313</v>
      </c>
      <c r="E64" s="188">
        <v>70304</v>
      </c>
      <c r="F64" s="188">
        <v>161080</v>
      </c>
      <c r="G64" s="188">
        <v>179837</v>
      </c>
      <c r="H64" s="188">
        <v>231856</v>
      </c>
      <c r="I64" s="189">
        <f>IFERROR(H64/G64-1,"-")</f>
        <v>0.28925638216829674</v>
      </c>
      <c r="J64" s="188">
        <f>H64-G64</f>
        <v>52019</v>
      </c>
      <c r="K64" s="189">
        <f>H64/H$8</f>
        <v>4.2307327362835476E-2</v>
      </c>
      <c r="L64" s="131"/>
      <c r="M64" s="131"/>
      <c r="N64" s="131"/>
    </row>
    <row r="65" spans="2:14" x14ac:dyDescent="0.25">
      <c r="B65" s="190" t="s">
        <v>99</v>
      </c>
      <c r="C65" s="191">
        <v>41904</v>
      </c>
      <c r="D65" s="191">
        <v>24273</v>
      </c>
      <c r="E65" s="191">
        <v>26311</v>
      </c>
      <c r="F65" s="191">
        <v>32375</v>
      </c>
      <c r="G65" s="191">
        <v>47068</v>
      </c>
      <c r="H65" s="191">
        <v>61312</v>
      </c>
      <c r="I65" s="192">
        <f>IFERROR(H65/G65-1,"-")</f>
        <v>0.30262598793235318</v>
      </c>
      <c r="J65" s="191">
        <f t="shared" ref="J65:J75" si="20">H65-G65</f>
        <v>14244</v>
      </c>
      <c r="K65" s="192">
        <f>H65/H$8</f>
        <v>1.1187749531045859E-2</v>
      </c>
    </row>
    <row r="66" spans="2:14" x14ac:dyDescent="0.25">
      <c r="B66" s="194" t="s">
        <v>105</v>
      </c>
      <c r="C66" s="195">
        <v>22752</v>
      </c>
      <c r="D66" s="195">
        <v>8930</v>
      </c>
      <c r="E66" s="195">
        <v>21567</v>
      </c>
      <c r="F66" s="195">
        <v>23338</v>
      </c>
      <c r="G66" s="195">
        <v>31999</v>
      </c>
      <c r="H66" s="195">
        <v>37562</v>
      </c>
      <c r="I66" s="196">
        <f>IFERROR(H66/G66-1,"-")</f>
        <v>0.17384918278696215</v>
      </c>
      <c r="J66" s="195">
        <f t="shared" si="20"/>
        <v>5563</v>
      </c>
      <c r="K66" s="196">
        <f>H66/H$8</f>
        <v>6.8540293561642832E-3</v>
      </c>
    </row>
    <row r="67" spans="2:14" x14ac:dyDescent="0.25">
      <c r="B67" s="194" t="s">
        <v>102</v>
      </c>
      <c r="C67" s="195">
        <v>19152</v>
      </c>
      <c r="D67" s="195">
        <v>15343</v>
      </c>
      <c r="E67" s="195">
        <v>4744</v>
      </c>
      <c r="F67" s="195">
        <v>9037</v>
      </c>
      <c r="G67" s="195">
        <v>15069</v>
      </c>
      <c r="H67" s="195">
        <v>23750</v>
      </c>
      <c r="I67" s="196">
        <f>IFERROR(H67/G67-1,"-")</f>
        <v>0.57608334992368437</v>
      </c>
      <c r="J67" s="195">
        <f t="shared" si="20"/>
        <v>8681</v>
      </c>
      <c r="K67" s="196">
        <f>H67/H$8</f>
        <v>4.3337201748815755E-3</v>
      </c>
    </row>
    <row r="68" spans="2:14" x14ac:dyDescent="0.25">
      <c r="B68" s="190" t="s">
        <v>109</v>
      </c>
      <c r="C68" s="191">
        <v>95222</v>
      </c>
      <c r="D68" s="191">
        <v>31040</v>
      </c>
      <c r="E68" s="191">
        <v>43993</v>
      </c>
      <c r="F68" s="191">
        <v>128705</v>
      </c>
      <c r="G68" s="191">
        <v>132769</v>
      </c>
      <c r="H68" s="191">
        <v>170544</v>
      </c>
      <c r="I68" s="192">
        <f>IFERROR(H68/G68-1,"-")</f>
        <v>0.28451671700472247</v>
      </c>
      <c r="J68" s="191">
        <f t="shared" si="20"/>
        <v>37775</v>
      </c>
      <c r="K68" s="192">
        <f>H68/H$8</f>
        <v>3.1119577831789615E-2</v>
      </c>
    </row>
    <row r="69" spans="2:14" x14ac:dyDescent="0.25">
      <c r="B69" s="194" t="s">
        <v>112</v>
      </c>
      <c r="C69" s="195">
        <v>41026</v>
      </c>
      <c r="D69" s="195">
        <v>13899</v>
      </c>
      <c r="E69" s="195">
        <v>12264</v>
      </c>
      <c r="F69" s="195">
        <v>56081</v>
      </c>
      <c r="G69" s="195">
        <v>50457</v>
      </c>
      <c r="H69" s="195">
        <v>73242</v>
      </c>
      <c r="I69" s="196">
        <f t="shared" ref="I69:I76" si="21">IFERROR(H69/G69-1,"-")</f>
        <v>0.45157262619656335</v>
      </c>
      <c r="J69" s="195">
        <f t="shared" si="20"/>
        <v>22785</v>
      </c>
      <c r="K69" s="196">
        <f t="shared" ref="K69:K76" si="22">H69/H$8</f>
        <v>1.336464560204953E-2</v>
      </c>
    </row>
    <row r="70" spans="2:14" x14ac:dyDescent="0.25">
      <c r="B70" s="194" t="s">
        <v>115</v>
      </c>
      <c r="C70" s="195">
        <v>11534</v>
      </c>
      <c r="D70" s="195">
        <v>3374</v>
      </c>
      <c r="E70" s="195">
        <v>3586</v>
      </c>
      <c r="F70" s="195">
        <v>7748</v>
      </c>
      <c r="G70" s="195">
        <v>10955</v>
      </c>
      <c r="H70" s="195">
        <v>10731</v>
      </c>
      <c r="I70" s="196">
        <f t="shared" si="21"/>
        <v>-2.0447284345047945E-2</v>
      </c>
      <c r="J70" s="195">
        <f t="shared" si="20"/>
        <v>-224</v>
      </c>
      <c r="K70" s="196">
        <f t="shared" si="22"/>
        <v>1.9581116293328079E-3</v>
      </c>
    </row>
    <row r="71" spans="2:14" x14ac:dyDescent="0.25">
      <c r="B71" s="194" t="s">
        <v>118</v>
      </c>
      <c r="C71" s="195">
        <v>10880</v>
      </c>
      <c r="D71" s="195">
        <v>3449</v>
      </c>
      <c r="E71" s="195">
        <v>6294</v>
      </c>
      <c r="F71" s="195">
        <v>18047</v>
      </c>
      <c r="G71" s="195">
        <v>15837</v>
      </c>
      <c r="H71" s="195">
        <v>19123</v>
      </c>
      <c r="I71" s="196">
        <f t="shared" si="21"/>
        <v>0.20748879206920501</v>
      </c>
      <c r="J71" s="195">
        <f t="shared" si="20"/>
        <v>3286</v>
      </c>
      <c r="K71" s="196">
        <f t="shared" si="22"/>
        <v>3.4894202486004363E-3</v>
      </c>
    </row>
    <row r="72" spans="2:14" x14ac:dyDescent="0.25">
      <c r="B72" s="194" t="s">
        <v>125</v>
      </c>
      <c r="C72" s="195">
        <v>1784</v>
      </c>
      <c r="D72" s="195">
        <v>536</v>
      </c>
      <c r="E72" s="195">
        <v>3888</v>
      </c>
      <c r="F72" s="195">
        <v>3396</v>
      </c>
      <c r="G72" s="195">
        <v>3947</v>
      </c>
      <c r="H72" s="195">
        <v>6454</v>
      </c>
      <c r="I72" s="196">
        <f t="shared" si="21"/>
        <v>0.63516594882189015</v>
      </c>
      <c r="J72" s="195">
        <f t="shared" si="20"/>
        <v>2507</v>
      </c>
      <c r="K72" s="196">
        <f t="shared" si="22"/>
        <v>1.1776770529972921E-3</v>
      </c>
    </row>
    <row r="73" spans="2:14" x14ac:dyDescent="0.25">
      <c r="B73" s="194" t="s">
        <v>121</v>
      </c>
      <c r="C73" s="195">
        <v>2469</v>
      </c>
      <c r="D73" s="195">
        <v>1278</v>
      </c>
      <c r="E73" s="195">
        <v>1635</v>
      </c>
      <c r="F73" s="195">
        <v>3248</v>
      </c>
      <c r="G73" s="195">
        <v>2699</v>
      </c>
      <c r="H73" s="195">
        <v>4219</v>
      </c>
      <c r="I73" s="196">
        <f t="shared" si="21"/>
        <v>0.56317154501667277</v>
      </c>
      <c r="J73" s="195">
        <f t="shared" si="20"/>
        <v>1520</v>
      </c>
      <c r="K73" s="196">
        <f t="shared" si="22"/>
        <v>7.6985117548738385E-4</v>
      </c>
    </row>
    <row r="74" spans="2:14" x14ac:dyDescent="0.25">
      <c r="B74" s="194" t="s">
        <v>130</v>
      </c>
      <c r="C74" s="195">
        <v>2202</v>
      </c>
      <c r="D74" s="195">
        <v>686</v>
      </c>
      <c r="E74" s="195">
        <v>1848</v>
      </c>
      <c r="F74" s="195">
        <v>2875</v>
      </c>
      <c r="G74" s="195">
        <v>3786</v>
      </c>
      <c r="H74" s="195">
        <v>3186</v>
      </c>
      <c r="I74" s="196">
        <f t="shared" si="21"/>
        <v>-0.15847860538827263</v>
      </c>
      <c r="J74" s="195">
        <f t="shared" si="20"/>
        <v>-600</v>
      </c>
      <c r="K74" s="196">
        <f t="shared" si="22"/>
        <v>5.8135715693358734E-4</v>
      </c>
    </row>
    <row r="75" spans="2:14" x14ac:dyDescent="0.25">
      <c r="B75" s="194" t="s">
        <v>133</v>
      </c>
      <c r="C75" s="195">
        <v>2302</v>
      </c>
      <c r="D75" s="195">
        <v>932</v>
      </c>
      <c r="E75" s="195">
        <v>363</v>
      </c>
      <c r="F75" s="195">
        <v>967</v>
      </c>
      <c r="G75" s="195">
        <v>1128</v>
      </c>
      <c r="H75" s="195">
        <v>3135</v>
      </c>
      <c r="I75" s="196">
        <f t="shared" si="21"/>
        <v>1.7792553191489362</v>
      </c>
      <c r="J75" s="195">
        <f t="shared" si="20"/>
        <v>2007</v>
      </c>
      <c r="K75" s="196">
        <f t="shared" si="22"/>
        <v>5.7205106308436799E-4</v>
      </c>
    </row>
    <row r="76" spans="2:14" x14ac:dyDescent="0.25">
      <c r="B76" s="199" t="s">
        <v>147</v>
      </c>
      <c r="C76" s="200">
        <f t="shared" ref="C76:H76" si="23">C68-SUM(C69:C75)</f>
        <v>23025</v>
      </c>
      <c r="D76" s="200">
        <f t="shared" si="23"/>
        <v>6886</v>
      </c>
      <c r="E76" s="200">
        <f t="shared" si="23"/>
        <v>14115</v>
      </c>
      <c r="F76" s="200">
        <f t="shared" si="23"/>
        <v>36343</v>
      </c>
      <c r="G76" s="200">
        <f t="shared" si="23"/>
        <v>43960</v>
      </c>
      <c r="H76" s="200">
        <f t="shared" si="23"/>
        <v>50454</v>
      </c>
      <c r="I76" s="201">
        <f t="shared" si="21"/>
        <v>0.14772520473157424</v>
      </c>
      <c r="J76" s="200">
        <f>H76-G76</f>
        <v>6494</v>
      </c>
      <c r="K76" s="201">
        <f t="shared" si="22"/>
        <v>9.2064639033042107E-3</v>
      </c>
    </row>
    <row r="77" spans="2:14" x14ac:dyDescent="0.25">
      <c r="B77" s="186" t="s">
        <v>50</v>
      </c>
      <c r="C77" s="184"/>
      <c r="D77" s="184"/>
      <c r="E77" s="184"/>
      <c r="F77" s="184"/>
      <c r="G77" s="184"/>
      <c r="H77" s="185"/>
      <c r="I77" s="185"/>
      <c r="J77" s="185"/>
      <c r="K77" s="184"/>
      <c r="L77" s="202"/>
      <c r="M77" s="202"/>
      <c r="N77" s="202"/>
    </row>
    <row r="78" spans="2:14" x14ac:dyDescent="0.25">
      <c r="B78" s="187" t="s">
        <v>70</v>
      </c>
      <c r="C78" s="188">
        <v>791721</v>
      </c>
      <c r="D78" s="188">
        <v>225835</v>
      </c>
      <c r="E78" s="188">
        <v>354204</v>
      </c>
      <c r="F78" s="188">
        <v>710225</v>
      </c>
      <c r="G78" s="188">
        <v>797848</v>
      </c>
      <c r="H78" s="188">
        <v>914356</v>
      </c>
      <c r="I78" s="189">
        <f>IFERROR(H78/G78-1,"-")</f>
        <v>0.14602781482187077</v>
      </c>
      <c r="J78" s="188">
        <f>H78-G78</f>
        <v>116508</v>
      </c>
      <c r="K78" s="189">
        <f>H78/H$8</f>
        <v>0.16684475975680074</v>
      </c>
      <c r="L78" s="131"/>
      <c r="M78" s="131"/>
      <c r="N78" s="131"/>
    </row>
    <row r="79" spans="2:14" x14ac:dyDescent="0.25">
      <c r="B79" s="190" t="s">
        <v>99</v>
      </c>
      <c r="C79" s="191">
        <v>356283</v>
      </c>
      <c r="D79" s="191">
        <v>103133</v>
      </c>
      <c r="E79" s="191">
        <v>181693</v>
      </c>
      <c r="F79" s="191">
        <v>342343</v>
      </c>
      <c r="G79" s="191">
        <v>341923</v>
      </c>
      <c r="H79" s="191">
        <v>382237</v>
      </c>
      <c r="I79" s="192">
        <f>IFERROR(H79/G79-1,"-")</f>
        <v>0.1179037385610211</v>
      </c>
      <c r="J79" s="191">
        <f t="shared" ref="J79:J89" si="24">H79-G79</f>
        <v>40314</v>
      </c>
      <c r="K79" s="192">
        <f>H79/H$8</f>
        <v>6.9747713620471941E-2</v>
      </c>
    </row>
    <row r="80" spans="2:14" x14ac:dyDescent="0.25">
      <c r="B80" s="194" t="s">
        <v>105</v>
      </c>
      <c r="C80" s="195">
        <v>72064</v>
      </c>
      <c r="D80" s="195">
        <v>28320</v>
      </c>
      <c r="E80" s="195">
        <v>66989</v>
      </c>
      <c r="F80" s="195">
        <v>97391</v>
      </c>
      <c r="G80" s="195">
        <v>92103</v>
      </c>
      <c r="H80" s="195">
        <v>106284</v>
      </c>
      <c r="I80" s="196">
        <f>IFERROR(H80/G80-1,"-")</f>
        <v>0.15396892609361257</v>
      </c>
      <c r="J80" s="195">
        <f t="shared" si="24"/>
        <v>14181</v>
      </c>
      <c r="K80" s="196">
        <f>H80/H$8</f>
        <v>1.9393899581773195E-2</v>
      </c>
    </row>
    <row r="81" spans="2:14" x14ac:dyDescent="0.25">
      <c r="B81" s="194" t="s">
        <v>102</v>
      </c>
      <c r="C81" s="195">
        <v>284219</v>
      </c>
      <c r="D81" s="195">
        <v>74813</v>
      </c>
      <c r="E81" s="195">
        <v>114704</v>
      </c>
      <c r="F81" s="195">
        <v>244952</v>
      </c>
      <c r="G81" s="195">
        <v>249820</v>
      </c>
      <c r="H81" s="195">
        <v>275953</v>
      </c>
      <c r="I81" s="196">
        <f>IFERROR(H81/G81-1,"-")</f>
        <v>0.1046073172684332</v>
      </c>
      <c r="J81" s="195">
        <f t="shared" si="24"/>
        <v>26133</v>
      </c>
      <c r="K81" s="196">
        <f>H81/H$8</f>
        <v>5.0353814038698749E-2</v>
      </c>
    </row>
    <row r="82" spans="2:14" x14ac:dyDescent="0.25">
      <c r="B82" s="190" t="s">
        <v>109</v>
      </c>
      <c r="C82" s="191">
        <v>435438</v>
      </c>
      <c r="D82" s="191">
        <v>122702</v>
      </c>
      <c r="E82" s="191">
        <v>172511</v>
      </c>
      <c r="F82" s="191">
        <v>367882</v>
      </c>
      <c r="G82" s="191">
        <v>455925</v>
      </c>
      <c r="H82" s="191">
        <v>532119</v>
      </c>
      <c r="I82" s="192">
        <f>IFERROR(H82/G82-1,"-")</f>
        <v>0.16711959203816407</v>
      </c>
      <c r="J82" s="191">
        <f t="shared" si="24"/>
        <v>76194</v>
      </c>
      <c r="K82" s="192">
        <f>H82/H$8</f>
        <v>9.7097046136328802E-2</v>
      </c>
    </row>
    <row r="83" spans="2:14" x14ac:dyDescent="0.25">
      <c r="B83" s="194" t="s">
        <v>112</v>
      </c>
      <c r="C83" s="195">
        <v>75049</v>
      </c>
      <c r="D83" s="195">
        <v>21332</v>
      </c>
      <c r="E83" s="195">
        <v>16695</v>
      </c>
      <c r="F83" s="195">
        <v>71554</v>
      </c>
      <c r="G83" s="195">
        <v>93860</v>
      </c>
      <c r="H83" s="195">
        <v>110313</v>
      </c>
      <c r="I83" s="196">
        <f t="shared" ref="I83:I90" si="25">IFERROR(H83/G83-1,"-")</f>
        <v>0.17529298955891748</v>
      </c>
      <c r="J83" s="195">
        <f t="shared" si="24"/>
        <v>16453</v>
      </c>
      <c r="K83" s="196">
        <f t="shared" ref="K83:K90" si="26">H83/H$8</f>
        <v>2.0129080995861526E-2</v>
      </c>
    </row>
    <row r="84" spans="2:14" x14ac:dyDescent="0.25">
      <c r="B84" s="194" t="s">
        <v>115</v>
      </c>
      <c r="C84" s="195">
        <v>159354</v>
      </c>
      <c r="D84" s="195">
        <v>39522</v>
      </c>
      <c r="E84" s="195">
        <v>53227</v>
      </c>
      <c r="F84" s="195">
        <v>113120</v>
      </c>
      <c r="G84" s="195">
        <v>127349</v>
      </c>
      <c r="H84" s="195">
        <v>141364</v>
      </c>
      <c r="I84" s="196">
        <f t="shared" si="25"/>
        <v>0.11005190460859526</v>
      </c>
      <c r="J84" s="195">
        <f t="shared" si="24"/>
        <v>14015</v>
      </c>
      <c r="K84" s="196">
        <f t="shared" si="26"/>
        <v>2.57950323706088E-2</v>
      </c>
    </row>
    <row r="85" spans="2:14" x14ac:dyDescent="0.25">
      <c r="B85" s="194" t="s">
        <v>118</v>
      </c>
      <c r="C85" s="195">
        <v>25447</v>
      </c>
      <c r="D85" s="195">
        <v>8286</v>
      </c>
      <c r="E85" s="195">
        <v>19927</v>
      </c>
      <c r="F85" s="195">
        <v>30758</v>
      </c>
      <c r="G85" s="195">
        <v>42539</v>
      </c>
      <c r="H85" s="195">
        <v>57925</v>
      </c>
      <c r="I85" s="196">
        <f t="shared" si="25"/>
        <v>0.36169162415665634</v>
      </c>
      <c r="J85" s="195">
        <f t="shared" si="24"/>
        <v>15386</v>
      </c>
      <c r="K85" s="196">
        <f t="shared" si="26"/>
        <v>1.0569715416000642E-2</v>
      </c>
    </row>
    <row r="86" spans="2:14" x14ac:dyDescent="0.25">
      <c r="B86" s="194" t="s">
        <v>125</v>
      </c>
      <c r="C86" s="195">
        <v>9296</v>
      </c>
      <c r="D86" s="195">
        <v>2074</v>
      </c>
      <c r="E86" s="195">
        <v>5996</v>
      </c>
      <c r="F86" s="195">
        <v>10713</v>
      </c>
      <c r="G86" s="195">
        <v>12911</v>
      </c>
      <c r="H86" s="195">
        <v>18498</v>
      </c>
      <c r="I86" s="196">
        <f t="shared" si="25"/>
        <v>0.43273177910309046</v>
      </c>
      <c r="J86" s="195">
        <f t="shared" si="24"/>
        <v>5587</v>
      </c>
      <c r="K86" s="196">
        <f t="shared" si="26"/>
        <v>3.375374980840395E-3</v>
      </c>
    </row>
    <row r="87" spans="2:14" x14ac:dyDescent="0.25">
      <c r="B87" s="194" t="s">
        <v>121</v>
      </c>
      <c r="C87" s="195">
        <v>6249</v>
      </c>
      <c r="D87" s="195">
        <v>2082</v>
      </c>
      <c r="E87" s="195">
        <v>5201</v>
      </c>
      <c r="F87" s="195">
        <v>5872</v>
      </c>
      <c r="G87" s="195">
        <v>6968</v>
      </c>
      <c r="H87" s="195">
        <v>8896</v>
      </c>
      <c r="I87" s="196">
        <f t="shared" si="25"/>
        <v>0.27669345579793347</v>
      </c>
      <c r="J87" s="195">
        <f t="shared" si="24"/>
        <v>1928</v>
      </c>
      <c r="K87" s="196">
        <f t="shared" si="26"/>
        <v>1.623274723189326E-3</v>
      </c>
    </row>
    <row r="88" spans="2:14" x14ac:dyDescent="0.25">
      <c r="B88" s="194" t="s">
        <v>130</v>
      </c>
      <c r="C88" s="195">
        <v>8520</v>
      </c>
      <c r="D88" s="195">
        <v>3046</v>
      </c>
      <c r="E88" s="195">
        <v>2575</v>
      </c>
      <c r="F88" s="195">
        <v>7581</v>
      </c>
      <c r="G88" s="195">
        <v>8524</v>
      </c>
      <c r="H88" s="195">
        <v>7383</v>
      </c>
      <c r="I88" s="196">
        <f t="shared" si="25"/>
        <v>-0.13385734396996718</v>
      </c>
      <c r="J88" s="195">
        <f t="shared" si="24"/>
        <v>-1141</v>
      </c>
      <c r="K88" s="196">
        <f t="shared" si="26"/>
        <v>1.3471939389958177E-3</v>
      </c>
    </row>
    <row r="89" spans="2:14" x14ac:dyDescent="0.25">
      <c r="B89" s="194" t="s">
        <v>133</v>
      </c>
      <c r="C89" s="195">
        <v>13181</v>
      </c>
      <c r="D89" s="195">
        <v>4839</v>
      </c>
      <c r="E89" s="195">
        <v>2819</v>
      </c>
      <c r="F89" s="195">
        <v>7599</v>
      </c>
      <c r="G89" s="195">
        <v>9961</v>
      </c>
      <c r="H89" s="195">
        <v>9541</v>
      </c>
      <c r="I89" s="196">
        <f t="shared" si="25"/>
        <v>-4.216444132115249E-2</v>
      </c>
      <c r="J89" s="195">
        <f t="shared" si="24"/>
        <v>-420</v>
      </c>
      <c r="K89" s="196">
        <f t="shared" si="26"/>
        <v>1.7409694395176889E-3</v>
      </c>
    </row>
    <row r="90" spans="2:14" x14ac:dyDescent="0.25">
      <c r="B90" s="199" t="s">
        <v>147</v>
      </c>
      <c r="C90" s="200">
        <f t="shared" ref="C90:H90" si="27">C82-SUM(C83:C89)</f>
        <v>138342</v>
      </c>
      <c r="D90" s="200">
        <f t="shared" si="27"/>
        <v>41521</v>
      </c>
      <c r="E90" s="200">
        <f t="shared" si="27"/>
        <v>66071</v>
      </c>
      <c r="F90" s="200">
        <f t="shared" si="27"/>
        <v>120685</v>
      </c>
      <c r="G90" s="200">
        <f t="shared" si="27"/>
        <v>153813</v>
      </c>
      <c r="H90" s="200">
        <f t="shared" si="27"/>
        <v>178199</v>
      </c>
      <c r="I90" s="201">
        <f t="shared" si="25"/>
        <v>0.15854316605228425</v>
      </c>
      <c r="J90" s="200">
        <f>H90-G90</f>
        <v>24386</v>
      </c>
      <c r="K90" s="201">
        <f t="shared" si="26"/>
        <v>3.2516404271314601E-2</v>
      </c>
    </row>
    <row r="91" spans="2:14" x14ac:dyDescent="0.25">
      <c r="B91" s="186" t="s">
        <v>51</v>
      </c>
      <c r="C91" s="184"/>
      <c r="D91" s="184"/>
      <c r="E91" s="184"/>
      <c r="F91" s="184"/>
      <c r="G91" s="184"/>
      <c r="H91" s="185"/>
      <c r="I91" s="185"/>
      <c r="J91" s="185"/>
      <c r="K91" s="184"/>
      <c r="L91" s="202"/>
      <c r="M91" s="202"/>
      <c r="N91" s="202"/>
    </row>
    <row r="92" spans="2:14" x14ac:dyDescent="0.25">
      <c r="B92" s="187" t="s">
        <v>70</v>
      </c>
      <c r="C92" s="188">
        <v>55887</v>
      </c>
      <c r="D92" s="188">
        <v>24221</v>
      </c>
      <c r="E92" s="188">
        <v>33444</v>
      </c>
      <c r="F92" s="188">
        <v>51485</v>
      </c>
      <c r="G92" s="188">
        <v>58157</v>
      </c>
      <c r="H92" s="188">
        <v>57388</v>
      </c>
      <c r="I92" s="189">
        <f>IFERROR(H92/G92-1,"-")</f>
        <v>-1.3222827862510056E-2</v>
      </c>
      <c r="J92" s="188">
        <f>H92-G92</f>
        <v>-769</v>
      </c>
      <c r="K92" s="189">
        <f>H92/H$8</f>
        <v>1.0471727721941215E-2</v>
      </c>
      <c r="L92" s="131"/>
      <c r="M92" s="131"/>
      <c r="N92" s="131"/>
    </row>
    <row r="93" spans="2:14" x14ac:dyDescent="0.25">
      <c r="B93" s="190" t="s">
        <v>99</v>
      </c>
      <c r="C93" s="191">
        <v>37119</v>
      </c>
      <c r="D93" s="191">
        <v>16023</v>
      </c>
      <c r="E93" s="191">
        <v>21732</v>
      </c>
      <c r="F93" s="191">
        <v>33809</v>
      </c>
      <c r="G93" s="191">
        <v>37722</v>
      </c>
      <c r="H93" s="191">
        <v>35821</v>
      </c>
      <c r="I93" s="192">
        <f>IFERROR(H93/G93-1,"-")</f>
        <v>-5.0394994963151474E-2</v>
      </c>
      <c r="J93" s="191">
        <f t="shared" ref="J93:J103" si="28">H93-G93</f>
        <v>-1901</v>
      </c>
      <c r="K93" s="192">
        <f>H93/H$8</f>
        <v>6.5363448582919119E-3</v>
      </c>
    </row>
    <row r="94" spans="2:14" x14ac:dyDescent="0.25">
      <c r="B94" s="194" t="s">
        <v>105</v>
      </c>
      <c r="C94" s="195">
        <v>19153</v>
      </c>
      <c r="D94" s="195">
        <v>8684</v>
      </c>
      <c r="E94" s="195">
        <v>11001</v>
      </c>
      <c r="F94" s="195">
        <v>16289</v>
      </c>
      <c r="G94" s="195">
        <v>12024</v>
      </c>
      <c r="H94" s="195">
        <v>11877</v>
      </c>
      <c r="I94" s="196">
        <f>IFERROR(H94/G94-1,"-")</f>
        <v>-1.2225548902195627E-2</v>
      </c>
      <c r="J94" s="195">
        <f t="shared" si="28"/>
        <v>-147</v>
      </c>
      <c r="K94" s="196">
        <f>H94/H$8</f>
        <v>2.1672250322976199E-3</v>
      </c>
    </row>
    <row r="95" spans="2:14" x14ac:dyDescent="0.25">
      <c r="B95" s="194" t="s">
        <v>102</v>
      </c>
      <c r="C95" s="195">
        <v>17966</v>
      </c>
      <c r="D95" s="195">
        <v>7339</v>
      </c>
      <c r="E95" s="195">
        <v>10731</v>
      </c>
      <c r="F95" s="195">
        <v>17520</v>
      </c>
      <c r="G95" s="195">
        <v>25698</v>
      </c>
      <c r="H95" s="195">
        <v>23944</v>
      </c>
      <c r="I95" s="196">
        <f>IFERROR(H95/G95-1,"-")</f>
        <v>-6.8254338859055186E-2</v>
      </c>
      <c r="J95" s="195">
        <f t="shared" si="28"/>
        <v>-1754</v>
      </c>
      <c r="K95" s="196">
        <f>H95/H$8</f>
        <v>4.3691198259942924E-3</v>
      </c>
    </row>
    <row r="96" spans="2:14" x14ac:dyDescent="0.25">
      <c r="B96" s="190" t="s">
        <v>109</v>
      </c>
      <c r="C96" s="191">
        <v>18768</v>
      </c>
      <c r="D96" s="191">
        <v>8198</v>
      </c>
      <c r="E96" s="191">
        <v>11712</v>
      </c>
      <c r="F96" s="191">
        <v>17676</v>
      </c>
      <c r="G96" s="191">
        <v>20435</v>
      </c>
      <c r="H96" s="191">
        <v>21567</v>
      </c>
      <c r="I96" s="192">
        <f>IFERROR(H96/G96-1,"-")</f>
        <v>5.539515537068751E-2</v>
      </c>
      <c r="J96" s="191">
        <f t="shared" si="28"/>
        <v>1132</v>
      </c>
      <c r="K96" s="192">
        <f>H96/H$8</f>
        <v>3.9353828636493025E-3</v>
      </c>
    </row>
    <row r="97" spans="2:14" x14ac:dyDescent="0.25">
      <c r="B97" s="194" t="s">
        <v>112</v>
      </c>
      <c r="C97" s="195">
        <v>2421</v>
      </c>
      <c r="D97" s="195">
        <v>1288</v>
      </c>
      <c r="E97" s="195">
        <v>921</v>
      </c>
      <c r="F97" s="195">
        <v>2403</v>
      </c>
      <c r="G97" s="195">
        <v>2795</v>
      </c>
      <c r="H97" s="195">
        <v>3030</v>
      </c>
      <c r="I97" s="196">
        <f t="shared" ref="I97:I104" si="29">IFERROR(H97/G97-1,"-")</f>
        <v>8.4078711985688726E-2</v>
      </c>
      <c r="J97" s="195">
        <f t="shared" si="28"/>
        <v>235</v>
      </c>
      <c r="K97" s="196">
        <f t="shared" ref="K97:K104" si="30">H97/H$8</f>
        <v>5.5289145810068099E-4</v>
      </c>
    </row>
    <row r="98" spans="2:14" x14ac:dyDescent="0.25">
      <c r="B98" s="194" t="s">
        <v>115</v>
      </c>
      <c r="C98" s="195">
        <v>3905</v>
      </c>
      <c r="D98" s="195">
        <v>1481</v>
      </c>
      <c r="E98" s="195">
        <v>2395</v>
      </c>
      <c r="F98" s="195">
        <v>3482</v>
      </c>
      <c r="G98" s="195">
        <v>3814</v>
      </c>
      <c r="H98" s="195">
        <v>4234</v>
      </c>
      <c r="I98" s="196">
        <f t="shared" si="29"/>
        <v>0.11012060828526482</v>
      </c>
      <c r="J98" s="195">
        <f t="shared" si="28"/>
        <v>420</v>
      </c>
      <c r="K98" s="196">
        <f t="shared" si="30"/>
        <v>7.7258826191362485E-4</v>
      </c>
    </row>
    <row r="99" spans="2:14" x14ac:dyDescent="0.25">
      <c r="B99" s="194" t="s">
        <v>118</v>
      </c>
      <c r="C99" s="195">
        <v>3854</v>
      </c>
      <c r="D99" s="195">
        <v>1974</v>
      </c>
      <c r="E99" s="195">
        <v>3541</v>
      </c>
      <c r="F99" s="195">
        <v>3412</v>
      </c>
      <c r="G99" s="195">
        <v>3885</v>
      </c>
      <c r="H99" s="195">
        <v>3685</v>
      </c>
      <c r="I99" s="196">
        <f t="shared" si="29"/>
        <v>-5.1480051480051525E-2</v>
      </c>
      <c r="J99" s="195">
        <f t="shared" si="28"/>
        <v>-200</v>
      </c>
      <c r="K99" s="196">
        <f t="shared" si="30"/>
        <v>6.7241089871320446E-4</v>
      </c>
    </row>
    <row r="100" spans="2:14" x14ac:dyDescent="0.25">
      <c r="B100" s="194" t="s">
        <v>125</v>
      </c>
      <c r="C100" s="195">
        <v>699</v>
      </c>
      <c r="D100" s="195">
        <v>323</v>
      </c>
      <c r="E100" s="195">
        <v>432</v>
      </c>
      <c r="F100" s="195">
        <v>1172</v>
      </c>
      <c r="G100" s="195">
        <v>938</v>
      </c>
      <c r="H100" s="195">
        <v>933</v>
      </c>
      <c r="I100" s="196">
        <f t="shared" si="29"/>
        <v>-5.3304904051172386E-3</v>
      </c>
      <c r="J100" s="195">
        <f t="shared" si="28"/>
        <v>-5</v>
      </c>
      <c r="K100" s="196">
        <f t="shared" si="30"/>
        <v>1.7024677571218989E-4</v>
      </c>
    </row>
    <row r="101" spans="2:14" x14ac:dyDescent="0.25">
      <c r="B101" s="194" t="s">
        <v>121</v>
      </c>
      <c r="C101" s="195">
        <v>519</v>
      </c>
      <c r="D101" s="195">
        <v>351</v>
      </c>
      <c r="E101" s="195">
        <v>507</v>
      </c>
      <c r="F101" s="195">
        <v>682</v>
      </c>
      <c r="G101" s="195">
        <v>650</v>
      </c>
      <c r="H101" s="195">
        <v>903</v>
      </c>
      <c r="I101" s="196">
        <f t="shared" si="29"/>
        <v>0.38923076923076927</v>
      </c>
      <c r="J101" s="195">
        <f t="shared" si="28"/>
        <v>253</v>
      </c>
      <c r="K101" s="196">
        <f t="shared" si="30"/>
        <v>1.6477260285970789E-4</v>
      </c>
    </row>
    <row r="102" spans="2:14" x14ac:dyDescent="0.25">
      <c r="B102" s="194" t="s">
        <v>130</v>
      </c>
      <c r="C102" s="195">
        <v>155</v>
      </c>
      <c r="D102" s="195">
        <v>124</v>
      </c>
      <c r="E102" s="195">
        <v>105</v>
      </c>
      <c r="F102" s="195">
        <v>270</v>
      </c>
      <c r="G102" s="195">
        <v>153</v>
      </c>
      <c r="H102" s="195">
        <v>230</v>
      </c>
      <c r="I102" s="196">
        <f t="shared" si="29"/>
        <v>0.50326797385620914</v>
      </c>
      <c r="J102" s="195">
        <f t="shared" si="28"/>
        <v>77</v>
      </c>
      <c r="K102" s="196">
        <f t="shared" si="30"/>
        <v>4.1968658535695256E-5</v>
      </c>
    </row>
    <row r="103" spans="2:14" x14ac:dyDescent="0.25">
      <c r="B103" s="194" t="s">
        <v>133</v>
      </c>
      <c r="C103" s="195">
        <v>271</v>
      </c>
      <c r="D103" s="195">
        <v>89</v>
      </c>
      <c r="E103" s="195">
        <v>96</v>
      </c>
      <c r="F103" s="195">
        <v>168</v>
      </c>
      <c r="G103" s="195">
        <v>270</v>
      </c>
      <c r="H103" s="195">
        <v>384</v>
      </c>
      <c r="I103" s="196">
        <f t="shared" si="29"/>
        <v>0.42222222222222228</v>
      </c>
      <c r="J103" s="195">
        <f t="shared" si="28"/>
        <v>114</v>
      </c>
      <c r="K103" s="196">
        <f t="shared" si="30"/>
        <v>7.0069412511769477E-5</v>
      </c>
    </row>
    <row r="104" spans="2:14" x14ac:dyDescent="0.25">
      <c r="B104" s="199" t="s">
        <v>147</v>
      </c>
      <c r="C104" s="200">
        <f t="shared" ref="C104:H104" si="31">C96-SUM(C97:C103)</f>
        <v>6944</v>
      </c>
      <c r="D104" s="200">
        <f t="shared" si="31"/>
        <v>2568</v>
      </c>
      <c r="E104" s="200">
        <f t="shared" si="31"/>
        <v>3715</v>
      </c>
      <c r="F104" s="200">
        <f t="shared" si="31"/>
        <v>6087</v>
      </c>
      <c r="G104" s="200">
        <f t="shared" si="31"/>
        <v>7930</v>
      </c>
      <c r="H104" s="200">
        <f t="shared" si="31"/>
        <v>8168</v>
      </c>
      <c r="I104" s="201">
        <f t="shared" si="29"/>
        <v>3.0012610340479196E-2</v>
      </c>
      <c r="J104" s="200">
        <f>H104-G104</f>
        <v>238</v>
      </c>
      <c r="K104" s="201">
        <f t="shared" si="30"/>
        <v>1.4904347953024297E-3</v>
      </c>
    </row>
    <row r="105" spans="2:14" x14ac:dyDescent="0.25">
      <c r="B105" s="186" t="s">
        <v>52</v>
      </c>
      <c r="C105" s="184"/>
      <c r="D105" s="184"/>
      <c r="E105" s="184"/>
      <c r="F105" s="184"/>
      <c r="G105" s="184"/>
      <c r="H105" s="185"/>
      <c r="I105" s="185"/>
      <c r="J105" s="185"/>
      <c r="K105" s="184"/>
      <c r="L105" s="202"/>
      <c r="M105" s="202"/>
      <c r="N105" s="202"/>
    </row>
    <row r="106" spans="2:14" x14ac:dyDescent="0.25">
      <c r="B106" s="187" t="s">
        <v>70</v>
      </c>
      <c r="C106" s="188">
        <v>142901</v>
      </c>
      <c r="D106" s="188">
        <v>77467</v>
      </c>
      <c r="E106" s="188">
        <v>107459</v>
      </c>
      <c r="F106" s="188">
        <v>198873</v>
      </c>
      <c r="G106" s="188">
        <v>252588</v>
      </c>
      <c r="H106" s="188">
        <v>239146</v>
      </c>
      <c r="I106" s="189">
        <f>IFERROR(H106/G106-1,"-")</f>
        <v>-5.3217096615832848E-2</v>
      </c>
      <c r="J106" s="188">
        <f>H106-G106</f>
        <v>-13442</v>
      </c>
      <c r="K106" s="189">
        <f>H106/H$8</f>
        <v>4.3637551365988597E-2</v>
      </c>
      <c r="L106" s="131"/>
      <c r="M106" s="131"/>
      <c r="N106" s="131"/>
    </row>
    <row r="107" spans="2:14" x14ac:dyDescent="0.25">
      <c r="B107" s="190" t="s">
        <v>99</v>
      </c>
      <c r="C107" s="191">
        <v>31009</v>
      </c>
      <c r="D107" s="191">
        <v>30584</v>
      </c>
      <c r="E107" s="191">
        <v>44398</v>
      </c>
      <c r="F107" s="191">
        <v>48630</v>
      </c>
      <c r="G107" s="191">
        <v>55684</v>
      </c>
      <c r="H107" s="191">
        <v>49807</v>
      </c>
      <c r="I107" s="192">
        <f>IFERROR(H107/G107-1,"-")</f>
        <v>-0.10554198692622652</v>
      </c>
      <c r="J107" s="191">
        <f t="shared" ref="J107:J117" si="32">H107-G107</f>
        <v>-5877</v>
      </c>
      <c r="K107" s="192">
        <f>H107/H$8</f>
        <v>9.0884042421190154E-3</v>
      </c>
    </row>
    <row r="108" spans="2:14" x14ac:dyDescent="0.25">
      <c r="B108" s="194" t="s">
        <v>105</v>
      </c>
      <c r="C108" s="195">
        <v>11886</v>
      </c>
      <c r="D108" s="195">
        <v>4963</v>
      </c>
      <c r="E108" s="195">
        <v>24120</v>
      </c>
      <c r="F108" s="195">
        <v>16359</v>
      </c>
      <c r="G108" s="195">
        <v>19520</v>
      </c>
      <c r="H108" s="195">
        <v>16099</v>
      </c>
      <c r="I108" s="196">
        <f>IFERROR(H108/G108-1,"-")</f>
        <v>-0.17525614754098362</v>
      </c>
      <c r="J108" s="195">
        <f t="shared" si="32"/>
        <v>-3421</v>
      </c>
      <c r="K108" s="196">
        <f>H108/H$8</f>
        <v>2.937623625070252E-3</v>
      </c>
    </row>
    <row r="109" spans="2:14" x14ac:dyDescent="0.25">
      <c r="B109" s="194" t="s">
        <v>102</v>
      </c>
      <c r="C109" s="195">
        <v>19123</v>
      </c>
      <c r="D109" s="195">
        <v>25621</v>
      </c>
      <c r="E109" s="195">
        <v>20278</v>
      </c>
      <c r="F109" s="195">
        <v>32271</v>
      </c>
      <c r="G109" s="195">
        <v>36164</v>
      </c>
      <c r="H109" s="195">
        <v>33708</v>
      </c>
      <c r="I109" s="196">
        <f>IFERROR(H109/G109-1,"-")</f>
        <v>-6.791284149983412E-2</v>
      </c>
      <c r="J109" s="195">
        <f t="shared" si="32"/>
        <v>-2456</v>
      </c>
      <c r="K109" s="196">
        <f>H109/H$8</f>
        <v>6.1507806170487643E-3</v>
      </c>
    </row>
    <row r="110" spans="2:14" x14ac:dyDescent="0.25">
      <c r="B110" s="190" t="s">
        <v>109</v>
      </c>
      <c r="C110" s="191">
        <v>111892</v>
      </c>
      <c r="D110" s="191">
        <v>46883</v>
      </c>
      <c r="E110" s="191">
        <v>63061</v>
      </c>
      <c r="F110" s="191">
        <v>150243</v>
      </c>
      <c r="G110" s="191">
        <v>196904</v>
      </c>
      <c r="H110" s="191">
        <v>189339</v>
      </c>
      <c r="I110" s="192">
        <f>IFERROR(H110/G110-1,"-")</f>
        <v>-3.841973753707395E-2</v>
      </c>
      <c r="J110" s="191">
        <f t="shared" si="32"/>
        <v>-7565</v>
      </c>
      <c r="K110" s="192">
        <f>H110/H$8</f>
        <v>3.4549147123869584E-2</v>
      </c>
    </row>
    <row r="111" spans="2:14" x14ac:dyDescent="0.25">
      <c r="B111" s="194" t="s">
        <v>112</v>
      </c>
      <c r="C111" s="195">
        <v>61414</v>
      </c>
      <c r="D111" s="195">
        <v>26382</v>
      </c>
      <c r="E111" s="195">
        <v>26812</v>
      </c>
      <c r="F111" s="195">
        <v>90804</v>
      </c>
      <c r="G111" s="195">
        <v>128108</v>
      </c>
      <c r="H111" s="195">
        <v>116734</v>
      </c>
      <c r="I111" s="196">
        <f t="shared" ref="I111:I118" si="33">IFERROR(H111/G111-1,"-")</f>
        <v>-8.8784463109251588E-2</v>
      </c>
      <c r="J111" s="195">
        <f t="shared" si="32"/>
        <v>-11374</v>
      </c>
      <c r="K111" s="196">
        <f t="shared" ref="K111:K118" si="34">H111/H$8</f>
        <v>2.1300736458721086E-2</v>
      </c>
    </row>
    <row r="112" spans="2:14" x14ac:dyDescent="0.25">
      <c r="B112" s="194" t="s">
        <v>115</v>
      </c>
      <c r="C112" s="195">
        <v>9783</v>
      </c>
      <c r="D112" s="195">
        <v>3197</v>
      </c>
      <c r="E112" s="195">
        <v>7197</v>
      </c>
      <c r="F112" s="195">
        <v>6944</v>
      </c>
      <c r="G112" s="195">
        <v>8880</v>
      </c>
      <c r="H112" s="195">
        <v>8516</v>
      </c>
      <c r="I112" s="196">
        <f t="shared" si="33"/>
        <v>-4.0990990990991016E-2</v>
      </c>
      <c r="J112" s="195">
        <f t="shared" si="32"/>
        <v>-364</v>
      </c>
      <c r="K112" s="196">
        <f t="shared" si="34"/>
        <v>1.553935200391221E-3</v>
      </c>
    </row>
    <row r="113" spans="2:14" x14ac:dyDescent="0.25">
      <c r="B113" s="194" t="s">
        <v>118</v>
      </c>
      <c r="C113" s="195">
        <v>11371</v>
      </c>
      <c r="D113" s="195">
        <v>2498</v>
      </c>
      <c r="E113" s="195">
        <v>6746</v>
      </c>
      <c r="F113" s="195">
        <v>9830</v>
      </c>
      <c r="G113" s="195">
        <v>13414</v>
      </c>
      <c r="H113" s="195">
        <v>14245</v>
      </c>
      <c r="I113" s="196">
        <f t="shared" si="33"/>
        <v>6.1950201282242379E-2</v>
      </c>
      <c r="J113" s="195">
        <f t="shared" si="32"/>
        <v>831</v>
      </c>
      <c r="K113" s="196">
        <f t="shared" si="34"/>
        <v>2.5993197427868651E-3</v>
      </c>
    </row>
    <row r="114" spans="2:14" x14ac:dyDescent="0.25">
      <c r="B114" s="194" t="s">
        <v>125</v>
      </c>
      <c r="C114" s="195">
        <v>2496</v>
      </c>
      <c r="D114" s="195">
        <v>1300</v>
      </c>
      <c r="E114" s="195">
        <v>3663</v>
      </c>
      <c r="F114" s="195">
        <v>6290</v>
      </c>
      <c r="G114" s="195">
        <v>6514</v>
      </c>
      <c r="H114" s="195">
        <v>6482</v>
      </c>
      <c r="I114" s="196">
        <f t="shared" si="33"/>
        <v>-4.912496162112423E-3</v>
      </c>
      <c r="J114" s="195">
        <f t="shared" si="32"/>
        <v>-32</v>
      </c>
      <c r="K114" s="196">
        <f t="shared" si="34"/>
        <v>1.1827862809929419E-3</v>
      </c>
    </row>
    <row r="115" spans="2:14" x14ac:dyDescent="0.25">
      <c r="B115" s="194" t="s">
        <v>121</v>
      </c>
      <c r="C115" s="195">
        <v>3749</v>
      </c>
      <c r="D115" s="195">
        <v>2838</v>
      </c>
      <c r="E115" s="195">
        <v>4368</v>
      </c>
      <c r="F115" s="195">
        <v>4750</v>
      </c>
      <c r="G115" s="195">
        <v>5340</v>
      </c>
      <c r="H115" s="195">
        <v>5146</v>
      </c>
      <c r="I115" s="196">
        <f t="shared" si="33"/>
        <v>-3.6329588014981318E-2</v>
      </c>
      <c r="J115" s="195">
        <f t="shared" si="32"/>
        <v>-194</v>
      </c>
      <c r="K115" s="196">
        <f t="shared" si="34"/>
        <v>9.3900311662907738E-4</v>
      </c>
    </row>
    <row r="116" spans="2:14" x14ac:dyDescent="0.25">
      <c r="B116" s="194" t="s">
        <v>130</v>
      </c>
      <c r="C116" s="195">
        <v>826</v>
      </c>
      <c r="D116" s="195">
        <v>406</v>
      </c>
      <c r="E116" s="195">
        <v>369</v>
      </c>
      <c r="F116" s="195">
        <v>1261</v>
      </c>
      <c r="G116" s="195">
        <v>1457</v>
      </c>
      <c r="H116" s="195">
        <v>1177</v>
      </c>
      <c r="I116" s="196">
        <f t="shared" si="33"/>
        <v>-0.19217570350034319</v>
      </c>
      <c r="J116" s="195">
        <f t="shared" si="32"/>
        <v>-280</v>
      </c>
      <c r="K116" s="196">
        <f t="shared" si="34"/>
        <v>2.1477004824571009E-4</v>
      </c>
    </row>
    <row r="117" spans="2:14" x14ac:dyDescent="0.25">
      <c r="B117" s="194" t="s">
        <v>133</v>
      </c>
      <c r="C117" s="195">
        <v>1664</v>
      </c>
      <c r="D117" s="195">
        <v>932</v>
      </c>
      <c r="E117" s="195">
        <v>521</v>
      </c>
      <c r="F117" s="195">
        <v>980</v>
      </c>
      <c r="G117" s="195">
        <v>944</v>
      </c>
      <c r="H117" s="195">
        <v>1508</v>
      </c>
      <c r="I117" s="196">
        <f t="shared" si="33"/>
        <v>0.59745762711864403</v>
      </c>
      <c r="J117" s="195">
        <f t="shared" si="32"/>
        <v>564</v>
      </c>
      <c r="K117" s="196">
        <f t="shared" si="34"/>
        <v>2.7516842205142805E-4</v>
      </c>
    </row>
    <row r="118" spans="2:14" x14ac:dyDescent="0.25">
      <c r="B118" s="199" t="s">
        <v>147</v>
      </c>
      <c r="C118" s="200">
        <f t="shared" ref="C118:H118" si="35">C110-SUM(C111:C117)</f>
        <v>20589</v>
      </c>
      <c r="D118" s="200">
        <f t="shared" si="35"/>
        <v>9330</v>
      </c>
      <c r="E118" s="200">
        <f t="shared" si="35"/>
        <v>13385</v>
      </c>
      <c r="F118" s="200">
        <f t="shared" si="35"/>
        <v>29384</v>
      </c>
      <c r="G118" s="200">
        <f t="shared" si="35"/>
        <v>32247</v>
      </c>
      <c r="H118" s="200">
        <f t="shared" si="35"/>
        <v>35531</v>
      </c>
      <c r="I118" s="201">
        <f t="shared" si="33"/>
        <v>0.10183893075324835</v>
      </c>
      <c r="J118" s="200">
        <f>H118-G118</f>
        <v>3284</v>
      </c>
      <c r="K118" s="201">
        <f t="shared" si="34"/>
        <v>6.4834278540512533E-3</v>
      </c>
    </row>
    <row r="119" spans="2:14" x14ac:dyDescent="0.25">
      <c r="B119" s="186" t="s">
        <v>53</v>
      </c>
      <c r="C119" s="184"/>
      <c r="D119" s="184"/>
      <c r="E119" s="184"/>
      <c r="F119" s="184"/>
      <c r="G119" s="184"/>
      <c r="H119" s="185"/>
      <c r="I119" s="185"/>
      <c r="J119" s="185"/>
      <c r="K119" s="184"/>
      <c r="L119" s="202"/>
      <c r="M119" s="202"/>
      <c r="N119" s="202"/>
    </row>
    <row r="120" spans="2:14" x14ac:dyDescent="0.25">
      <c r="B120" s="187" t="s">
        <v>70</v>
      </c>
      <c r="C120" s="188">
        <v>220415</v>
      </c>
      <c r="D120" s="188">
        <v>103516</v>
      </c>
      <c r="E120" s="188">
        <v>164258</v>
      </c>
      <c r="F120" s="188">
        <v>229131</v>
      </c>
      <c r="G120" s="188">
        <v>239109</v>
      </c>
      <c r="H120" s="188">
        <v>250871</v>
      </c>
      <c r="I120" s="189">
        <f>IFERROR(H120/G120-1,"-")</f>
        <v>4.9190954752853289E-2</v>
      </c>
      <c r="J120" s="188">
        <f>H120-G120</f>
        <v>11762</v>
      </c>
      <c r="K120" s="189">
        <f>H120/H$8</f>
        <v>4.5777040589166977E-2</v>
      </c>
      <c r="L120" s="131"/>
      <c r="M120" s="131"/>
      <c r="N120" s="131"/>
    </row>
    <row r="121" spans="2:14" x14ac:dyDescent="0.25">
      <c r="B121" s="190" t="s">
        <v>99</v>
      </c>
      <c r="C121" s="191">
        <v>120142</v>
      </c>
      <c r="D121" s="191">
        <v>61571</v>
      </c>
      <c r="E121" s="191">
        <v>104557</v>
      </c>
      <c r="F121" s="191">
        <v>134886</v>
      </c>
      <c r="G121" s="191">
        <v>146430</v>
      </c>
      <c r="H121" s="191">
        <v>156566</v>
      </c>
      <c r="I121" s="192">
        <f>IFERROR(H121/G121-1,"-")</f>
        <v>6.9220788089872309E-2</v>
      </c>
      <c r="J121" s="191">
        <f t="shared" ref="J121:J131" si="36">H121-G121</f>
        <v>10136</v>
      </c>
      <c r="K121" s="192">
        <f>H121/H$8</f>
        <v>2.8568978227389841E-2</v>
      </c>
    </row>
    <row r="122" spans="2:14" x14ac:dyDescent="0.25">
      <c r="B122" s="194" t="s">
        <v>105</v>
      </c>
      <c r="C122" s="195">
        <v>61076</v>
      </c>
      <c r="D122" s="195">
        <v>27791</v>
      </c>
      <c r="E122" s="195">
        <v>53247</v>
      </c>
      <c r="F122" s="195">
        <v>69865</v>
      </c>
      <c r="G122" s="195">
        <v>66121</v>
      </c>
      <c r="H122" s="195">
        <v>75793</v>
      </c>
      <c r="I122" s="196">
        <f>IFERROR(H122/G122-1,"-")</f>
        <v>0.14627727953297742</v>
      </c>
      <c r="J122" s="195">
        <f t="shared" si="36"/>
        <v>9672</v>
      </c>
      <c r="K122" s="196">
        <f>H122/H$8</f>
        <v>1.3830132766938915E-2</v>
      </c>
    </row>
    <row r="123" spans="2:14" x14ac:dyDescent="0.25">
      <c r="B123" s="194" t="s">
        <v>102</v>
      </c>
      <c r="C123" s="195">
        <v>59066</v>
      </c>
      <c r="D123" s="195">
        <v>33780</v>
      </c>
      <c r="E123" s="195">
        <v>51310</v>
      </c>
      <c r="F123" s="195">
        <v>65021</v>
      </c>
      <c r="G123" s="195">
        <v>80309</v>
      </c>
      <c r="H123" s="195">
        <v>80773</v>
      </c>
      <c r="I123" s="196">
        <f>IFERROR(H123/G123-1,"-")</f>
        <v>5.7776836967213807E-3</v>
      </c>
      <c r="J123" s="195">
        <f t="shared" si="36"/>
        <v>464</v>
      </c>
      <c r="K123" s="196">
        <f>H123/H$8</f>
        <v>1.4738845460450926E-2</v>
      </c>
    </row>
    <row r="124" spans="2:14" x14ac:dyDescent="0.25">
      <c r="B124" s="190" t="s">
        <v>109</v>
      </c>
      <c r="C124" s="191">
        <v>100273</v>
      </c>
      <c r="D124" s="191">
        <v>41945</v>
      </c>
      <c r="E124" s="191">
        <v>59701</v>
      </c>
      <c r="F124" s="191">
        <v>94245</v>
      </c>
      <c r="G124" s="191">
        <v>92679</v>
      </c>
      <c r="H124" s="191">
        <v>94305</v>
      </c>
      <c r="I124" s="192">
        <f>IFERROR(H124/G124-1,"-")</f>
        <v>1.7544427540219454E-2</v>
      </c>
      <c r="J124" s="191">
        <f t="shared" si="36"/>
        <v>1626</v>
      </c>
      <c r="K124" s="192">
        <f>H124/H$8</f>
        <v>1.7208062361777136E-2</v>
      </c>
    </row>
    <row r="125" spans="2:14" x14ac:dyDescent="0.25">
      <c r="B125" s="194" t="s">
        <v>112</v>
      </c>
      <c r="C125" s="195">
        <v>10460</v>
      </c>
      <c r="D125" s="195">
        <v>3941</v>
      </c>
      <c r="E125" s="195">
        <v>3336</v>
      </c>
      <c r="F125" s="195">
        <v>9917</v>
      </c>
      <c r="G125" s="195">
        <v>11646</v>
      </c>
      <c r="H125" s="195">
        <v>10656</v>
      </c>
      <c r="I125" s="196">
        <f t="shared" ref="I125:I132" si="37">IFERROR(H125/G125-1,"-")</f>
        <v>-8.5007727975270453E-2</v>
      </c>
      <c r="J125" s="195">
        <f t="shared" si="36"/>
        <v>-990</v>
      </c>
      <c r="K125" s="196">
        <f t="shared" ref="K125:K132" si="38">H125/H$8</f>
        <v>1.9444261972016029E-3</v>
      </c>
    </row>
    <row r="126" spans="2:14" x14ac:dyDescent="0.25">
      <c r="B126" s="194" t="s">
        <v>115</v>
      </c>
      <c r="C126" s="195">
        <v>9550</v>
      </c>
      <c r="D126" s="195">
        <v>4053</v>
      </c>
      <c r="E126" s="195">
        <v>7314</v>
      </c>
      <c r="F126" s="195">
        <v>11261</v>
      </c>
      <c r="G126" s="195">
        <v>13316</v>
      </c>
      <c r="H126" s="195">
        <v>13127</v>
      </c>
      <c r="I126" s="196">
        <f t="shared" si="37"/>
        <v>-1.4193451486932962E-2</v>
      </c>
      <c r="J126" s="195">
        <f t="shared" si="36"/>
        <v>-189</v>
      </c>
      <c r="K126" s="196">
        <f t="shared" si="38"/>
        <v>2.3953155678177029E-3</v>
      </c>
    </row>
    <row r="127" spans="2:14" x14ac:dyDescent="0.25">
      <c r="B127" s="194" t="s">
        <v>118</v>
      </c>
      <c r="C127" s="195">
        <v>6709</v>
      </c>
      <c r="D127" s="195">
        <v>2906</v>
      </c>
      <c r="E127" s="195">
        <v>7134</v>
      </c>
      <c r="F127" s="195">
        <v>8524</v>
      </c>
      <c r="G127" s="195">
        <v>8756</v>
      </c>
      <c r="H127" s="195">
        <v>8567</v>
      </c>
      <c r="I127" s="196">
        <f t="shared" si="37"/>
        <v>-2.1585198720877163E-2</v>
      </c>
      <c r="J127" s="195">
        <f t="shared" si="36"/>
        <v>-189</v>
      </c>
      <c r="K127" s="196">
        <f t="shared" si="38"/>
        <v>1.5632412942404403E-3</v>
      </c>
    </row>
    <row r="128" spans="2:14" x14ac:dyDescent="0.25">
      <c r="B128" s="194" t="s">
        <v>125</v>
      </c>
      <c r="C128" s="195">
        <v>1866</v>
      </c>
      <c r="D128" s="195">
        <v>784</v>
      </c>
      <c r="E128" s="195">
        <v>1333</v>
      </c>
      <c r="F128" s="195">
        <v>2573</v>
      </c>
      <c r="G128" s="195">
        <v>2637</v>
      </c>
      <c r="H128" s="195">
        <v>2356</v>
      </c>
      <c r="I128" s="196">
        <f t="shared" si="37"/>
        <v>-0.10656048540007579</v>
      </c>
      <c r="J128" s="195">
        <f t="shared" si="36"/>
        <v>-281</v>
      </c>
      <c r="K128" s="196">
        <f t="shared" si="38"/>
        <v>4.2990504134825225E-4</v>
      </c>
    </row>
    <row r="129" spans="2:14" x14ac:dyDescent="0.25">
      <c r="B129" s="194" t="s">
        <v>121</v>
      </c>
      <c r="C129" s="195">
        <v>1484</v>
      </c>
      <c r="D129" s="195">
        <v>812</v>
      </c>
      <c r="E129" s="195">
        <v>1357</v>
      </c>
      <c r="F129" s="195">
        <v>1836</v>
      </c>
      <c r="G129" s="195">
        <v>1934</v>
      </c>
      <c r="H129" s="195">
        <v>2091</v>
      </c>
      <c r="I129" s="196">
        <f t="shared" si="37"/>
        <v>8.1178903826266913E-2</v>
      </c>
      <c r="J129" s="195">
        <f t="shared" si="36"/>
        <v>157</v>
      </c>
      <c r="K129" s="196">
        <f t="shared" si="38"/>
        <v>3.815498478179947E-4</v>
      </c>
    </row>
    <row r="130" spans="2:14" x14ac:dyDescent="0.25">
      <c r="B130" s="194" t="s">
        <v>130</v>
      </c>
      <c r="C130" s="195">
        <v>1623</v>
      </c>
      <c r="D130" s="195">
        <v>678</v>
      </c>
      <c r="E130" s="195">
        <v>555</v>
      </c>
      <c r="F130" s="195">
        <v>1075</v>
      </c>
      <c r="G130" s="195">
        <v>1341</v>
      </c>
      <c r="H130" s="195">
        <v>1334</v>
      </c>
      <c r="I130" s="196">
        <f t="shared" si="37"/>
        <v>-5.2199850857569396E-3</v>
      </c>
      <c r="J130" s="195">
        <f t="shared" si="36"/>
        <v>-7</v>
      </c>
      <c r="K130" s="196">
        <f t="shared" si="38"/>
        <v>2.434182195070325E-4</v>
      </c>
    </row>
    <row r="131" spans="2:14" x14ac:dyDescent="0.25">
      <c r="B131" s="194" t="s">
        <v>133</v>
      </c>
      <c r="C131" s="195">
        <v>2681</v>
      </c>
      <c r="D131" s="195">
        <v>1097</v>
      </c>
      <c r="E131" s="195">
        <v>919</v>
      </c>
      <c r="F131" s="195">
        <v>1885</v>
      </c>
      <c r="G131" s="195">
        <v>2455</v>
      </c>
      <c r="H131" s="195">
        <v>2493</v>
      </c>
      <c r="I131" s="196">
        <f t="shared" si="37"/>
        <v>1.5478615071283119E-2</v>
      </c>
      <c r="J131" s="195">
        <f t="shared" si="36"/>
        <v>38</v>
      </c>
      <c r="K131" s="196">
        <f t="shared" si="38"/>
        <v>4.5490376404125338E-4</v>
      </c>
    </row>
    <row r="132" spans="2:14" x14ac:dyDescent="0.25">
      <c r="B132" s="199" t="s">
        <v>147</v>
      </c>
      <c r="C132" s="200">
        <f t="shared" ref="C132:H132" si="39">C124-SUM(C125:C131)</f>
        <v>65900</v>
      </c>
      <c r="D132" s="200">
        <f t="shared" si="39"/>
        <v>27674</v>
      </c>
      <c r="E132" s="200">
        <f t="shared" si="39"/>
        <v>37753</v>
      </c>
      <c r="F132" s="200">
        <f t="shared" si="39"/>
        <v>57174</v>
      </c>
      <c r="G132" s="200">
        <f t="shared" si="39"/>
        <v>50594</v>
      </c>
      <c r="H132" s="200">
        <f t="shared" si="39"/>
        <v>53681</v>
      </c>
      <c r="I132" s="201">
        <f t="shared" si="37"/>
        <v>6.1015140135193935E-2</v>
      </c>
      <c r="J132" s="200">
        <f>H132-G132</f>
        <v>3087</v>
      </c>
      <c r="K132" s="201">
        <f t="shared" si="38"/>
        <v>9.795302429802857E-3</v>
      </c>
    </row>
    <row r="133" spans="2:14" x14ac:dyDescent="0.25">
      <c r="B133" s="186" t="s">
        <v>54</v>
      </c>
      <c r="C133" s="184"/>
      <c r="D133" s="184"/>
      <c r="E133" s="184"/>
      <c r="F133" s="184"/>
      <c r="G133" s="184"/>
      <c r="H133" s="185"/>
      <c r="I133" s="185"/>
      <c r="J133" s="185"/>
      <c r="K133" s="184"/>
      <c r="L133" s="202"/>
      <c r="M133" s="202"/>
      <c r="N133" s="202"/>
    </row>
    <row r="134" spans="2:14" x14ac:dyDescent="0.25">
      <c r="B134" s="187" t="s">
        <v>70</v>
      </c>
      <c r="C134" s="188">
        <v>250224</v>
      </c>
      <c r="D134" s="188">
        <v>96681</v>
      </c>
      <c r="E134" s="188">
        <v>140346</v>
      </c>
      <c r="F134" s="188">
        <v>257117</v>
      </c>
      <c r="G134" s="188">
        <v>278594</v>
      </c>
      <c r="H134" s="188">
        <v>287810</v>
      </c>
      <c r="I134" s="189">
        <f>IFERROR(H134/G134-1,"-")</f>
        <v>3.3080396562739978E-2</v>
      </c>
      <c r="J134" s="188">
        <f>H134-G134</f>
        <v>9216</v>
      </c>
      <c r="K134" s="189">
        <f>H134/H$8</f>
        <v>5.2517389622428051E-2</v>
      </c>
      <c r="L134" s="131"/>
      <c r="M134" s="131"/>
      <c r="N134" s="131"/>
    </row>
    <row r="135" spans="2:14" x14ac:dyDescent="0.25">
      <c r="B135" s="190" t="s">
        <v>99</v>
      </c>
      <c r="C135" s="191">
        <v>45577</v>
      </c>
      <c r="D135" s="191">
        <v>26839</v>
      </c>
      <c r="E135" s="191">
        <v>45216</v>
      </c>
      <c r="F135" s="191">
        <v>29061</v>
      </c>
      <c r="G135" s="191">
        <v>32018</v>
      </c>
      <c r="H135" s="191">
        <v>29188</v>
      </c>
      <c r="I135" s="192">
        <f>IFERROR(H135/G135-1,"-")</f>
        <v>-8.838778187269658E-2</v>
      </c>
      <c r="J135" s="191">
        <f t="shared" ref="J135:J145" si="40">H135-G135</f>
        <v>-2830</v>
      </c>
      <c r="K135" s="192">
        <f>H135/H$8</f>
        <v>5.3260052406081445E-3</v>
      </c>
    </row>
    <row r="136" spans="2:14" x14ac:dyDescent="0.25">
      <c r="B136" s="194" t="s">
        <v>105</v>
      </c>
      <c r="C136" s="195">
        <v>24890</v>
      </c>
      <c r="D136" s="195">
        <v>20058</v>
      </c>
      <c r="E136" s="195">
        <v>34195</v>
      </c>
      <c r="F136" s="195">
        <v>19943</v>
      </c>
      <c r="G136" s="195">
        <v>20738</v>
      </c>
      <c r="H136" s="195">
        <v>18376</v>
      </c>
      <c r="I136" s="196">
        <f>IFERROR(H136/G136-1,"-")</f>
        <v>-0.1138971935577201</v>
      </c>
      <c r="J136" s="195">
        <f t="shared" si="40"/>
        <v>-2362</v>
      </c>
      <c r="K136" s="196">
        <f>H136/H$8</f>
        <v>3.3531133445736348E-3</v>
      </c>
    </row>
    <row r="137" spans="2:14" x14ac:dyDescent="0.25">
      <c r="B137" s="194" t="s">
        <v>102</v>
      </c>
      <c r="C137" s="195">
        <v>20687</v>
      </c>
      <c r="D137" s="195">
        <v>6781</v>
      </c>
      <c r="E137" s="195">
        <v>11021</v>
      </c>
      <c r="F137" s="195">
        <v>9118</v>
      </c>
      <c r="G137" s="195">
        <v>11280</v>
      </c>
      <c r="H137" s="195">
        <v>10812</v>
      </c>
      <c r="I137" s="196">
        <f>IFERROR(H137/G137-1,"-")</f>
        <v>-4.1489361702127692E-2</v>
      </c>
      <c r="J137" s="195">
        <f t="shared" si="40"/>
        <v>-468</v>
      </c>
      <c r="K137" s="196">
        <f>H137/H$8</f>
        <v>1.9728918960345092E-3</v>
      </c>
    </row>
    <row r="138" spans="2:14" x14ac:dyDescent="0.25">
      <c r="B138" s="190" t="s">
        <v>109</v>
      </c>
      <c r="C138" s="191">
        <v>204647</v>
      </c>
      <c r="D138" s="191">
        <v>69842</v>
      </c>
      <c r="E138" s="191">
        <v>95130</v>
      </c>
      <c r="F138" s="191">
        <v>228056</v>
      </c>
      <c r="G138" s="191">
        <v>246576</v>
      </c>
      <c r="H138" s="191">
        <v>258622</v>
      </c>
      <c r="I138" s="192">
        <f>IFERROR(H138/G138-1,"-")</f>
        <v>4.8853091947310467E-2</v>
      </c>
      <c r="J138" s="191">
        <f t="shared" si="40"/>
        <v>12046</v>
      </c>
      <c r="K138" s="192">
        <f>H138/H$8</f>
        <v>4.7191384381819905E-2</v>
      </c>
    </row>
    <row r="139" spans="2:14" x14ac:dyDescent="0.25">
      <c r="B139" s="194" t="s">
        <v>112</v>
      </c>
      <c r="C139" s="195">
        <v>100583</v>
      </c>
      <c r="D139" s="195">
        <v>26093</v>
      </c>
      <c r="E139" s="195">
        <v>26467</v>
      </c>
      <c r="F139" s="195">
        <v>96562</v>
      </c>
      <c r="G139" s="195">
        <v>105830</v>
      </c>
      <c r="H139" s="195">
        <v>116159</v>
      </c>
      <c r="I139" s="196">
        <f t="shared" ref="I139:I146" si="41">IFERROR(H139/G139-1,"-")</f>
        <v>9.7599924407067995E-2</v>
      </c>
      <c r="J139" s="195">
        <f t="shared" si="40"/>
        <v>10329</v>
      </c>
      <c r="K139" s="196">
        <f t="shared" ref="K139:K146" si="42">H139/H$8</f>
        <v>2.119581481238185E-2</v>
      </c>
    </row>
    <row r="140" spans="2:14" x14ac:dyDescent="0.25">
      <c r="B140" s="194" t="s">
        <v>115</v>
      </c>
      <c r="C140" s="195">
        <v>15093</v>
      </c>
      <c r="D140" s="195">
        <v>6042</v>
      </c>
      <c r="E140" s="195">
        <v>9298</v>
      </c>
      <c r="F140" s="195">
        <v>16587</v>
      </c>
      <c r="G140" s="195">
        <v>20785</v>
      </c>
      <c r="H140" s="195">
        <v>21459</v>
      </c>
      <c r="I140" s="196">
        <f t="shared" si="41"/>
        <v>3.2427231176329174E-2</v>
      </c>
      <c r="J140" s="195">
        <f t="shared" si="40"/>
        <v>674</v>
      </c>
      <c r="K140" s="196">
        <f t="shared" si="42"/>
        <v>3.9156758413803677E-3</v>
      </c>
    </row>
    <row r="141" spans="2:14" x14ac:dyDescent="0.25">
      <c r="B141" s="194" t="s">
        <v>118</v>
      </c>
      <c r="C141" s="195">
        <v>19622</v>
      </c>
      <c r="D141" s="195">
        <v>6586</v>
      </c>
      <c r="E141" s="195">
        <v>15246</v>
      </c>
      <c r="F141" s="195">
        <v>26940</v>
      </c>
      <c r="G141" s="195">
        <v>25089</v>
      </c>
      <c r="H141" s="195">
        <v>24579</v>
      </c>
      <c r="I141" s="196">
        <f t="shared" si="41"/>
        <v>-2.0327633624297459E-2</v>
      </c>
      <c r="J141" s="195">
        <f t="shared" si="40"/>
        <v>-510</v>
      </c>
      <c r="K141" s="196">
        <f t="shared" si="42"/>
        <v>4.4849898180384946E-3</v>
      </c>
    </row>
    <row r="142" spans="2:14" x14ac:dyDescent="0.25">
      <c r="B142" s="194" t="s">
        <v>125</v>
      </c>
      <c r="C142" s="195">
        <v>3955</v>
      </c>
      <c r="D142" s="195">
        <v>1273</v>
      </c>
      <c r="E142" s="195">
        <v>4366</v>
      </c>
      <c r="F142" s="195">
        <v>9965</v>
      </c>
      <c r="G142" s="195">
        <v>8878</v>
      </c>
      <c r="H142" s="195">
        <v>6534</v>
      </c>
      <c r="I142" s="196">
        <f t="shared" si="41"/>
        <v>-0.26402342870015771</v>
      </c>
      <c r="J142" s="195">
        <f t="shared" si="40"/>
        <v>-2344</v>
      </c>
      <c r="K142" s="196">
        <f t="shared" si="42"/>
        <v>1.1922748472705774E-3</v>
      </c>
    </row>
    <row r="143" spans="2:14" x14ac:dyDescent="0.25">
      <c r="B143" s="194" t="s">
        <v>121</v>
      </c>
      <c r="C143" s="195">
        <v>4225</v>
      </c>
      <c r="D143" s="195">
        <v>1935</v>
      </c>
      <c r="E143" s="195">
        <v>3344</v>
      </c>
      <c r="F143" s="195">
        <v>4569</v>
      </c>
      <c r="G143" s="195">
        <v>5490</v>
      </c>
      <c r="H143" s="195">
        <v>5563</v>
      </c>
      <c r="I143" s="196">
        <f t="shared" si="41"/>
        <v>1.3296903460837894E-2</v>
      </c>
      <c r="J143" s="195">
        <f t="shared" si="40"/>
        <v>73</v>
      </c>
      <c r="K143" s="196">
        <f t="shared" si="42"/>
        <v>1.0150941192785771E-3</v>
      </c>
    </row>
    <row r="144" spans="2:14" x14ac:dyDescent="0.25">
      <c r="B144" s="194" t="s">
        <v>130</v>
      </c>
      <c r="C144" s="195">
        <v>2428</v>
      </c>
      <c r="D144" s="195">
        <v>1979</v>
      </c>
      <c r="E144" s="195">
        <v>1422</v>
      </c>
      <c r="F144" s="195">
        <v>3324</v>
      </c>
      <c r="G144" s="195">
        <v>3691</v>
      </c>
      <c r="H144" s="195">
        <v>3402</v>
      </c>
      <c r="I144" s="196">
        <f t="shared" si="41"/>
        <v>-7.8298564074776533E-2</v>
      </c>
      <c r="J144" s="195">
        <f t="shared" si="40"/>
        <v>-289</v>
      </c>
      <c r="K144" s="196">
        <f t="shared" si="42"/>
        <v>6.2077120147145768E-4</v>
      </c>
    </row>
    <row r="145" spans="2:14" x14ac:dyDescent="0.25">
      <c r="B145" s="194" t="s">
        <v>133</v>
      </c>
      <c r="C145" s="195">
        <v>6221</v>
      </c>
      <c r="D145" s="195">
        <v>4050</v>
      </c>
      <c r="E145" s="195">
        <v>947</v>
      </c>
      <c r="F145" s="195">
        <v>2079</v>
      </c>
      <c r="G145" s="195">
        <v>2885</v>
      </c>
      <c r="H145" s="195">
        <v>2731</v>
      </c>
      <c r="I145" s="196">
        <f t="shared" si="41"/>
        <v>-5.3379549393414161E-2</v>
      </c>
      <c r="J145" s="195">
        <f t="shared" si="40"/>
        <v>-154</v>
      </c>
      <c r="K145" s="196">
        <f t="shared" si="42"/>
        <v>4.9833220200427711E-4</v>
      </c>
    </row>
    <row r="146" spans="2:14" x14ac:dyDescent="0.25">
      <c r="B146" s="199" t="s">
        <v>147</v>
      </c>
      <c r="C146" s="200">
        <f t="shared" ref="C146:H146" si="43">C138-SUM(C139:C145)</f>
        <v>52520</v>
      </c>
      <c r="D146" s="200">
        <f t="shared" si="43"/>
        <v>21884</v>
      </c>
      <c r="E146" s="200">
        <f t="shared" si="43"/>
        <v>34040</v>
      </c>
      <c r="F146" s="200">
        <f t="shared" si="43"/>
        <v>68030</v>
      </c>
      <c r="G146" s="200">
        <f t="shared" si="43"/>
        <v>73928</v>
      </c>
      <c r="H146" s="200">
        <f t="shared" si="43"/>
        <v>78195</v>
      </c>
      <c r="I146" s="201">
        <f t="shared" si="41"/>
        <v>5.7718320528081346E-2</v>
      </c>
      <c r="J146" s="200">
        <f>H146-G146</f>
        <v>4267</v>
      </c>
      <c r="K146" s="201">
        <f t="shared" si="42"/>
        <v>1.4268431539994306E-2</v>
      </c>
    </row>
    <row r="147" spans="2:14" x14ac:dyDescent="0.25">
      <c r="B147" s="186" t="s">
        <v>55</v>
      </c>
      <c r="C147" s="184"/>
      <c r="D147" s="184"/>
      <c r="E147" s="184"/>
      <c r="F147" s="184"/>
      <c r="G147" s="184"/>
      <c r="H147" s="185"/>
      <c r="I147" s="185"/>
      <c r="J147" s="185"/>
      <c r="K147" s="184"/>
      <c r="L147" s="202"/>
      <c r="M147" s="202"/>
      <c r="N147" s="202"/>
    </row>
    <row r="148" spans="2:14" x14ac:dyDescent="0.25">
      <c r="B148" s="187" t="s">
        <v>70</v>
      </c>
      <c r="C148" s="188">
        <v>126097</v>
      </c>
      <c r="D148" s="188">
        <v>43425</v>
      </c>
      <c r="E148" s="188">
        <v>71959</v>
      </c>
      <c r="F148" s="188">
        <v>111437</v>
      </c>
      <c r="G148" s="188">
        <v>123198</v>
      </c>
      <c r="H148" s="188">
        <v>128395</v>
      </c>
      <c r="I148" s="189">
        <f>IFERROR(H148/G148-1,"-")</f>
        <v>4.2184126365687691E-2</v>
      </c>
      <c r="J148" s="188">
        <f>H148-G148</f>
        <v>5197</v>
      </c>
      <c r="K148" s="189">
        <f>H148/H$8</f>
        <v>2.3428547446480836E-2</v>
      </c>
      <c r="L148" s="131"/>
      <c r="M148" s="131"/>
      <c r="N148" s="131"/>
    </row>
    <row r="149" spans="2:14" x14ac:dyDescent="0.25">
      <c r="B149" s="190" t="s">
        <v>99</v>
      </c>
      <c r="C149" s="191">
        <v>54208</v>
      </c>
      <c r="D149" s="191">
        <v>22164</v>
      </c>
      <c r="E149" s="191">
        <v>40392</v>
      </c>
      <c r="F149" s="191">
        <v>57756</v>
      </c>
      <c r="G149" s="191">
        <v>59696</v>
      </c>
      <c r="H149" s="191">
        <v>55970</v>
      </c>
      <c r="I149" s="192">
        <f>IFERROR(H149/G149-1,"-")</f>
        <v>-6.2416242294291102E-2</v>
      </c>
      <c r="J149" s="191">
        <f t="shared" ref="J149:J159" si="44">H149-G149</f>
        <v>-3726</v>
      </c>
      <c r="K149" s="192">
        <f>H149/H$8</f>
        <v>1.0212981818447233E-2</v>
      </c>
    </row>
    <row r="150" spans="2:14" x14ac:dyDescent="0.25">
      <c r="B150" s="194" t="s">
        <v>105</v>
      </c>
      <c r="C150" s="195">
        <v>32990</v>
      </c>
      <c r="D150" s="195">
        <v>14597</v>
      </c>
      <c r="E150" s="195">
        <v>32366</v>
      </c>
      <c r="F150" s="195">
        <v>41603</v>
      </c>
      <c r="G150" s="195">
        <v>44199</v>
      </c>
      <c r="H150" s="195">
        <v>37836</v>
      </c>
      <c r="I150" s="196">
        <f>IFERROR(H150/G150-1,"-")</f>
        <v>-0.14396253308898388</v>
      </c>
      <c r="J150" s="195">
        <f t="shared" si="44"/>
        <v>-6363</v>
      </c>
      <c r="K150" s="196">
        <f>H150/H$8</f>
        <v>6.904026801550286E-3</v>
      </c>
    </row>
    <row r="151" spans="2:14" x14ac:dyDescent="0.25">
      <c r="B151" s="194" t="s">
        <v>102</v>
      </c>
      <c r="C151" s="195">
        <v>21218</v>
      </c>
      <c r="D151" s="195">
        <v>7567</v>
      </c>
      <c r="E151" s="195">
        <v>8026</v>
      </c>
      <c r="F151" s="195">
        <v>16153</v>
      </c>
      <c r="G151" s="195">
        <v>15497</v>
      </c>
      <c r="H151" s="195">
        <v>18134</v>
      </c>
      <c r="I151" s="196">
        <f>IFERROR(H151/G151-1,"-")</f>
        <v>0.17016196683229001</v>
      </c>
      <c r="J151" s="195">
        <f t="shared" si="44"/>
        <v>2637</v>
      </c>
      <c r="K151" s="196">
        <f>H151/H$8</f>
        <v>3.3089550168969467E-3</v>
      </c>
    </row>
    <row r="152" spans="2:14" x14ac:dyDescent="0.25">
      <c r="B152" s="190" t="s">
        <v>109</v>
      </c>
      <c r="C152" s="191">
        <v>71889</v>
      </c>
      <c r="D152" s="191">
        <v>21261</v>
      </c>
      <c r="E152" s="191">
        <v>31567</v>
      </c>
      <c r="F152" s="191">
        <v>53681</v>
      </c>
      <c r="G152" s="191">
        <v>63502</v>
      </c>
      <c r="H152" s="191">
        <v>72425</v>
      </c>
      <c r="I152" s="192">
        <f>IFERROR(H152/G152-1,"-")</f>
        <v>0.14051525936190989</v>
      </c>
      <c r="J152" s="191">
        <f t="shared" si="44"/>
        <v>8923</v>
      </c>
      <c r="K152" s="192">
        <f>H152/H$8</f>
        <v>1.3215565628033605E-2</v>
      </c>
    </row>
    <row r="153" spans="2:14" x14ac:dyDescent="0.25">
      <c r="B153" s="194" t="s">
        <v>112</v>
      </c>
      <c r="C153" s="195">
        <v>21798</v>
      </c>
      <c r="D153" s="195">
        <v>5789</v>
      </c>
      <c r="E153" s="195">
        <v>5609</v>
      </c>
      <c r="F153" s="195">
        <v>19238</v>
      </c>
      <c r="G153" s="195">
        <v>18996</v>
      </c>
      <c r="H153" s="195">
        <v>20085</v>
      </c>
      <c r="I153" s="196">
        <f t="shared" ref="I153:I160" si="45">IFERROR(H153/G153-1,"-")</f>
        <v>5.7327858496525552E-2</v>
      </c>
      <c r="J153" s="195">
        <f t="shared" si="44"/>
        <v>1089</v>
      </c>
      <c r="K153" s="196">
        <f t="shared" ref="K153:K160" si="46">H153/H$8</f>
        <v>3.6649587247366924E-3</v>
      </c>
    </row>
    <row r="154" spans="2:14" x14ac:dyDescent="0.25">
      <c r="B154" s="194" t="s">
        <v>115</v>
      </c>
      <c r="C154" s="195">
        <v>18523</v>
      </c>
      <c r="D154" s="195">
        <v>5079</v>
      </c>
      <c r="E154" s="195">
        <v>8623</v>
      </c>
      <c r="F154" s="195">
        <v>11385</v>
      </c>
      <c r="G154" s="195">
        <v>12605</v>
      </c>
      <c r="H154" s="195">
        <v>13027</v>
      </c>
      <c r="I154" s="196">
        <f t="shared" si="45"/>
        <v>3.3478778262594266E-2</v>
      </c>
      <c r="J154" s="195">
        <f t="shared" si="44"/>
        <v>422</v>
      </c>
      <c r="K154" s="196">
        <f t="shared" si="46"/>
        <v>2.3770683249760959E-3</v>
      </c>
    </row>
    <row r="155" spans="2:14" x14ac:dyDescent="0.25">
      <c r="B155" s="194" t="s">
        <v>118</v>
      </c>
      <c r="C155" s="195">
        <v>9905</v>
      </c>
      <c r="D155" s="195">
        <v>2317</v>
      </c>
      <c r="E155" s="195">
        <v>5206</v>
      </c>
      <c r="F155" s="195">
        <v>6579</v>
      </c>
      <c r="G155" s="195">
        <v>10130</v>
      </c>
      <c r="H155" s="195">
        <v>12879</v>
      </c>
      <c r="I155" s="196">
        <f t="shared" si="45"/>
        <v>0.2713721618953604</v>
      </c>
      <c r="J155" s="195">
        <f t="shared" si="44"/>
        <v>2749</v>
      </c>
      <c r="K155" s="196">
        <f t="shared" si="46"/>
        <v>2.3500624055705181E-3</v>
      </c>
    </row>
    <row r="156" spans="2:14" x14ac:dyDescent="0.25">
      <c r="B156" s="194" t="s">
        <v>125</v>
      </c>
      <c r="C156" s="195">
        <v>1673</v>
      </c>
      <c r="D156" s="195">
        <v>600</v>
      </c>
      <c r="E156" s="195">
        <v>927</v>
      </c>
      <c r="F156" s="195">
        <v>1690</v>
      </c>
      <c r="G156" s="195">
        <v>2031</v>
      </c>
      <c r="H156" s="195">
        <v>2829</v>
      </c>
      <c r="I156" s="196">
        <f t="shared" si="45"/>
        <v>0.39290989660265874</v>
      </c>
      <c r="J156" s="195">
        <f t="shared" si="44"/>
        <v>798</v>
      </c>
      <c r="K156" s="196">
        <f t="shared" si="46"/>
        <v>5.1621449998905165E-4</v>
      </c>
    </row>
    <row r="157" spans="2:14" x14ac:dyDescent="0.25">
      <c r="B157" s="194" t="s">
        <v>121</v>
      </c>
      <c r="C157" s="195">
        <v>3007</v>
      </c>
      <c r="D157" s="195">
        <v>1505</v>
      </c>
      <c r="E157" s="195">
        <v>1749</v>
      </c>
      <c r="F157" s="195">
        <v>2959</v>
      </c>
      <c r="G157" s="195">
        <v>3062</v>
      </c>
      <c r="H157" s="195">
        <v>3505</v>
      </c>
      <c r="I157" s="196">
        <f t="shared" si="45"/>
        <v>0.14467668190725025</v>
      </c>
      <c r="J157" s="195">
        <f t="shared" si="44"/>
        <v>443</v>
      </c>
      <c r="K157" s="196">
        <f t="shared" si="46"/>
        <v>6.3956586159831248E-4</v>
      </c>
    </row>
    <row r="158" spans="2:14" x14ac:dyDescent="0.25">
      <c r="B158" s="194" t="s">
        <v>130</v>
      </c>
      <c r="C158" s="195">
        <v>472</v>
      </c>
      <c r="D158" s="195">
        <v>354</v>
      </c>
      <c r="E158" s="195">
        <v>292</v>
      </c>
      <c r="F158" s="195">
        <v>497</v>
      </c>
      <c r="G158" s="195">
        <v>676</v>
      </c>
      <c r="H158" s="195">
        <v>484</v>
      </c>
      <c r="I158" s="196">
        <f t="shared" si="45"/>
        <v>-0.28402366863905326</v>
      </c>
      <c r="J158" s="195">
        <f t="shared" si="44"/>
        <v>-192</v>
      </c>
      <c r="K158" s="196">
        <f t="shared" si="46"/>
        <v>8.8316655353376099E-5</v>
      </c>
    </row>
    <row r="159" spans="2:14" x14ac:dyDescent="0.25">
      <c r="B159" s="194" t="s">
        <v>133</v>
      </c>
      <c r="C159" s="195">
        <v>1062</v>
      </c>
      <c r="D159" s="195">
        <v>441</v>
      </c>
      <c r="E159" s="195">
        <v>454</v>
      </c>
      <c r="F159" s="195">
        <v>656</v>
      </c>
      <c r="G159" s="195">
        <v>941</v>
      </c>
      <c r="H159" s="195">
        <v>796</v>
      </c>
      <c r="I159" s="196">
        <f t="shared" si="45"/>
        <v>-0.15409139213602552</v>
      </c>
      <c r="J159" s="195">
        <f t="shared" si="44"/>
        <v>-145</v>
      </c>
      <c r="K159" s="196">
        <f t="shared" si="46"/>
        <v>1.4524805301918881E-4</v>
      </c>
    </row>
    <row r="160" spans="2:14" x14ac:dyDescent="0.25">
      <c r="B160" s="199" t="s">
        <v>147</v>
      </c>
      <c r="C160" s="200">
        <f t="shared" ref="C160:H160" si="47">C152-SUM(C153:C159)</f>
        <v>15449</v>
      </c>
      <c r="D160" s="200">
        <f t="shared" si="47"/>
        <v>5176</v>
      </c>
      <c r="E160" s="200">
        <f t="shared" si="47"/>
        <v>8707</v>
      </c>
      <c r="F160" s="200">
        <f t="shared" si="47"/>
        <v>10677</v>
      </c>
      <c r="G160" s="200">
        <f t="shared" si="47"/>
        <v>15061</v>
      </c>
      <c r="H160" s="200">
        <f t="shared" si="47"/>
        <v>18820</v>
      </c>
      <c r="I160" s="201">
        <f t="shared" si="45"/>
        <v>0.24958502091494594</v>
      </c>
      <c r="J160" s="200">
        <f>H160-G160</f>
        <v>3759</v>
      </c>
      <c r="K160" s="201">
        <f t="shared" si="46"/>
        <v>3.4341311027903682E-3</v>
      </c>
    </row>
    <row r="161" spans="2:11" x14ac:dyDescent="0.25">
      <c r="B161" s="202"/>
      <c r="C161" s="202"/>
      <c r="D161" s="202"/>
      <c r="E161" s="202"/>
      <c r="F161" s="202"/>
      <c r="G161" s="202"/>
      <c r="H161" s="202"/>
      <c r="I161" s="202"/>
      <c r="J161" s="202"/>
      <c r="K161" s="202"/>
    </row>
    <row r="162" spans="2:11" x14ac:dyDescent="0.25">
      <c r="B162" s="131" t="s">
        <v>57</v>
      </c>
      <c r="C162" s="131"/>
      <c r="D162" s="131"/>
      <c r="E162" s="131"/>
      <c r="F162" s="131"/>
      <c r="G162" s="131"/>
      <c r="H162" s="131"/>
      <c r="I162" s="131"/>
      <c r="J162" s="131"/>
      <c r="K162" s="131"/>
    </row>
  </sheetData>
  <mergeCells count="3">
    <mergeCell ref="B3:K3"/>
    <mergeCell ref="C5:K5"/>
    <mergeCell ref="O5:W5"/>
  </mergeCells>
  <pageMargins left="0.25" right="0.25" top="0.75" bottom="0.75" header="0.3" footer="0.3"/>
  <pageSetup paperSize="9" scale="2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EB0E3-1FFA-4E96-9605-182DA7F99792}">
  <sheetPr>
    <tabColor theme="7" tint="0.79998168889431442"/>
  </sheetPr>
  <dimension ref="A1:T165"/>
  <sheetViews>
    <sheetView showGridLines="0" workbookViewId="0">
      <selection activeCell="G10" sqref="G10"/>
    </sheetView>
  </sheetViews>
  <sheetFormatPr baseColWidth="10" defaultRowHeight="15" x14ac:dyDescent="0.25"/>
  <cols>
    <col min="1" max="1" width="15.5703125" customWidth="1"/>
    <col min="2" max="2" width="30.140625" customWidth="1"/>
    <col min="3" max="10" width="13.7109375" customWidth="1"/>
    <col min="13" max="20" width="11.42578125" hidden="1" customWidth="1"/>
  </cols>
  <sheetData>
    <row r="1" spans="1:20" ht="42.75" customHeight="1" x14ac:dyDescent="0.25"/>
    <row r="2" spans="1:20" ht="18" customHeight="1" x14ac:dyDescent="0.25"/>
    <row r="3" spans="1:20" x14ac:dyDescent="0.25">
      <c r="B3" s="74"/>
    </row>
    <row r="6" spans="1:20" ht="42" customHeight="1" thickBot="1" x14ac:dyDescent="0.3">
      <c r="B6" s="12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6" s="12"/>
      <c r="D6" s="12"/>
      <c r="E6" s="12"/>
      <c r="F6" s="12"/>
      <c r="G6" s="12"/>
      <c r="H6" s="12"/>
      <c r="I6" s="12"/>
      <c r="J6" s="12"/>
      <c r="M6" s="12" t="s">
        <v>264</v>
      </c>
      <c r="N6" s="12"/>
      <c r="O6" s="12"/>
      <c r="P6" s="12"/>
      <c r="Q6" s="12"/>
      <c r="R6" s="12"/>
      <c r="S6" s="12"/>
      <c r="T6" s="12"/>
    </row>
    <row r="7" spans="1:20" ht="6" customHeight="1" x14ac:dyDescent="0.25"/>
    <row r="8" spans="1:20" ht="15.75" x14ac:dyDescent="0.25">
      <c r="B8" s="174"/>
      <c r="C8" s="203" t="s">
        <v>45</v>
      </c>
      <c r="D8" s="204"/>
      <c r="E8" s="204"/>
      <c r="F8" s="204"/>
      <c r="G8" s="204"/>
      <c r="H8" s="204"/>
      <c r="I8" s="204"/>
      <c r="J8" s="204"/>
    </row>
    <row r="9" spans="1:20" s="177" customFormat="1" ht="72" customHeight="1" x14ac:dyDescent="0.25">
      <c r="A9"/>
      <c r="B9" s="178"/>
      <c r="C9" s="205" t="s">
        <v>263</v>
      </c>
      <c r="D9" s="205" t="s">
        <v>228</v>
      </c>
      <c r="E9" s="205" t="s">
        <v>229</v>
      </c>
      <c r="F9" s="205" t="s">
        <v>230</v>
      </c>
      <c r="G9" s="205" t="s">
        <v>231</v>
      </c>
      <c r="H9" s="205" t="s">
        <v>232</v>
      </c>
      <c r="I9" s="206" t="str">
        <f>CONCATENATE("var. ",RIGHT(H9,2),"/",RIGHT(G9,2))</f>
        <v>var. 25/24</v>
      </c>
      <c r="J9" s="206" t="str">
        <f>CONCATENATE("Cuota s/ total lugares de residencia ",RIGHT(H9,4))</f>
        <v>Cuota s/ total lugares de residencia 2025</v>
      </c>
      <c r="M9" s="178"/>
      <c r="N9" s="205" t="s">
        <v>263</v>
      </c>
      <c r="O9" s="205" t="s">
        <v>228</v>
      </c>
      <c r="P9" s="205" t="s">
        <v>229</v>
      </c>
      <c r="Q9" s="205" t="s">
        <v>230</v>
      </c>
      <c r="R9" s="205" t="s">
        <v>231</v>
      </c>
      <c r="S9" s="205" t="s">
        <v>232</v>
      </c>
      <c r="T9" s="206" t="str">
        <f>CONCATENATE("Cuota s/ total lugares de residencia ",RIGHT(R9,4))</f>
        <v>Cuota s/ total lugares de residencia 2024</v>
      </c>
    </row>
    <row r="10" spans="1:20" x14ac:dyDescent="0.25">
      <c r="B10" s="183" t="s">
        <v>45</v>
      </c>
      <c r="C10" s="184"/>
      <c r="D10" s="184"/>
      <c r="E10" s="184"/>
      <c r="F10" s="184"/>
      <c r="G10" s="184"/>
      <c r="H10" s="184"/>
      <c r="I10" s="185"/>
      <c r="J10" s="185"/>
      <c r="M10" s="186" t="s">
        <v>54</v>
      </c>
      <c r="N10" s="207"/>
      <c r="O10" s="207"/>
      <c r="P10" s="207"/>
      <c r="Q10" s="207"/>
      <c r="R10" s="207"/>
      <c r="S10" s="208"/>
      <c r="T10" s="208"/>
    </row>
    <row r="11" spans="1:20" x14ac:dyDescent="0.25">
      <c r="B11" s="187" t="s">
        <v>70</v>
      </c>
      <c r="C11" s="209">
        <v>109886</v>
      </c>
      <c r="D11" s="209">
        <v>280035</v>
      </c>
      <c r="E11" s="209">
        <v>390968</v>
      </c>
      <c r="F11" s="209">
        <v>423998</v>
      </c>
      <c r="G11" s="209">
        <v>434954</v>
      </c>
      <c r="H11" s="209">
        <v>435535</v>
      </c>
      <c r="I11" s="210">
        <f t="shared" ref="I11:I23" si="0">IFERROR(H11/G11-1,"-")</f>
        <v>1.3357734381107544E-3</v>
      </c>
      <c r="J11" s="210">
        <f>H11/H11</f>
        <v>1</v>
      </c>
      <c r="K11" s="103"/>
      <c r="L11" s="103"/>
      <c r="M11" s="187" t="s">
        <v>70</v>
      </c>
      <c r="N11" s="209">
        <v>5725</v>
      </c>
      <c r="O11" s="209">
        <v>15267</v>
      </c>
      <c r="P11" s="209">
        <v>20130</v>
      </c>
      <c r="Q11" s="209">
        <v>22106</v>
      </c>
      <c r="R11" s="209">
        <v>21182</v>
      </c>
      <c r="S11" s="210">
        <f t="shared" ref="S11:S23" si="1">IFERROR(R11/Q11-1,"-")</f>
        <v>-4.1798606713109532E-2</v>
      </c>
      <c r="T11" s="210">
        <f>R11/R11</f>
        <v>1</v>
      </c>
    </row>
    <row r="12" spans="1:20" x14ac:dyDescent="0.25">
      <c r="B12" s="190" t="s">
        <v>99</v>
      </c>
      <c r="C12" s="191">
        <v>73204</v>
      </c>
      <c r="D12" s="191">
        <v>97380</v>
      </c>
      <c r="E12" s="191">
        <v>96096</v>
      </c>
      <c r="F12" s="191">
        <v>102289</v>
      </c>
      <c r="G12" s="191">
        <v>101390</v>
      </c>
      <c r="H12" s="191">
        <v>104319</v>
      </c>
      <c r="I12" s="192">
        <f t="shared" si="0"/>
        <v>2.8888450537528421E-2</v>
      </c>
      <c r="J12" s="192">
        <f>H12/H11</f>
        <v>0.23951921200362772</v>
      </c>
      <c r="K12" s="103"/>
      <c r="L12" s="103"/>
      <c r="M12" s="190" t="s">
        <v>99</v>
      </c>
      <c r="N12" s="191">
        <v>3978</v>
      </c>
      <c r="O12" s="191">
        <v>5192</v>
      </c>
      <c r="P12" s="191">
        <v>3446</v>
      </c>
      <c r="Q12" s="191">
        <v>3382</v>
      </c>
      <c r="R12" s="191">
        <v>2838</v>
      </c>
      <c r="S12" s="192">
        <f t="shared" si="1"/>
        <v>-0.16085156712004733</v>
      </c>
      <c r="T12" s="192">
        <f>R12/R11</f>
        <v>0.13398168256066473</v>
      </c>
    </row>
    <row r="13" spans="1:20" x14ac:dyDescent="0.25">
      <c r="B13" s="194" t="s">
        <v>105</v>
      </c>
      <c r="C13" s="195">
        <v>31986</v>
      </c>
      <c r="D13" s="195">
        <v>43984</v>
      </c>
      <c r="E13" s="195">
        <v>37641</v>
      </c>
      <c r="F13" s="195">
        <v>45679</v>
      </c>
      <c r="G13" s="195">
        <v>41466</v>
      </c>
      <c r="H13" s="195">
        <v>44277</v>
      </c>
      <c r="I13" s="196">
        <f t="shared" si="0"/>
        <v>6.7790478946606836E-2</v>
      </c>
      <c r="J13" s="196">
        <f>H13/H11</f>
        <v>0.10166117533608091</v>
      </c>
      <c r="K13" s="103"/>
      <c r="L13" s="103"/>
      <c r="M13" s="194" t="s">
        <v>105</v>
      </c>
      <c r="N13" s="195">
        <v>2381</v>
      </c>
      <c r="O13" s="195">
        <v>3849</v>
      </c>
      <c r="P13" s="195">
        <v>2532</v>
      </c>
      <c r="Q13" s="195">
        <v>2355</v>
      </c>
      <c r="R13" s="195">
        <v>1691</v>
      </c>
      <c r="S13" s="196">
        <f t="shared" si="1"/>
        <v>-0.28195329087048837</v>
      </c>
      <c r="T13" s="196">
        <f>R13/R11</f>
        <v>7.9831932773109238E-2</v>
      </c>
    </row>
    <row r="14" spans="1:20" x14ac:dyDescent="0.25">
      <c r="B14" s="194" t="s">
        <v>102</v>
      </c>
      <c r="C14" s="195">
        <v>41218</v>
      </c>
      <c r="D14" s="195">
        <v>53396</v>
      </c>
      <c r="E14" s="195">
        <v>58455</v>
      </c>
      <c r="F14" s="195">
        <v>56610</v>
      </c>
      <c r="G14" s="195">
        <v>59924</v>
      </c>
      <c r="H14" s="195">
        <v>60042</v>
      </c>
      <c r="I14" s="196">
        <f t="shared" si="0"/>
        <v>1.96916093718702E-3</v>
      </c>
      <c r="J14" s="196">
        <f>H14/H11</f>
        <v>0.13785803666754681</v>
      </c>
      <c r="K14" s="103"/>
      <c r="L14" s="103"/>
      <c r="M14" s="194" t="s">
        <v>102</v>
      </c>
      <c r="N14" s="195">
        <v>1597</v>
      </c>
      <c r="O14" s="195">
        <v>1343</v>
      </c>
      <c r="P14" s="195">
        <v>914</v>
      </c>
      <c r="Q14" s="195">
        <v>1027</v>
      </c>
      <c r="R14" s="195">
        <v>1147</v>
      </c>
      <c r="S14" s="196">
        <f t="shared" si="1"/>
        <v>0.11684518013631928</v>
      </c>
      <c r="T14" s="196">
        <f>R14/R11</f>
        <v>5.4149749787555469E-2</v>
      </c>
    </row>
    <row r="15" spans="1:20" x14ac:dyDescent="0.25">
      <c r="B15" s="190" t="s">
        <v>109</v>
      </c>
      <c r="C15" s="191">
        <v>36682</v>
      </c>
      <c r="D15" s="191">
        <v>182655</v>
      </c>
      <c r="E15" s="191">
        <v>294872</v>
      </c>
      <c r="F15" s="191">
        <v>321709</v>
      </c>
      <c r="G15" s="191">
        <v>333564</v>
      </c>
      <c r="H15" s="191">
        <v>331216</v>
      </c>
      <c r="I15" s="192">
        <f t="shared" si="0"/>
        <v>-7.0391289227854648E-3</v>
      </c>
      <c r="J15" s="192">
        <f>H15/H11</f>
        <v>0.76048078799637231</v>
      </c>
      <c r="K15" s="103"/>
      <c r="L15" s="103"/>
      <c r="M15" s="190" t="s">
        <v>109</v>
      </c>
      <c r="N15" s="191">
        <v>1747</v>
      </c>
      <c r="O15" s="191">
        <v>10075</v>
      </c>
      <c r="P15" s="191">
        <v>16684</v>
      </c>
      <c r="Q15" s="191">
        <v>18724</v>
      </c>
      <c r="R15" s="191">
        <v>18344</v>
      </c>
      <c r="S15" s="192">
        <f t="shared" si="1"/>
        <v>-2.0294808801538111E-2</v>
      </c>
      <c r="T15" s="192">
        <f>R15/R11</f>
        <v>0.86601831743933533</v>
      </c>
    </row>
    <row r="16" spans="1:20" x14ac:dyDescent="0.25">
      <c r="B16" s="194" t="s">
        <v>112</v>
      </c>
      <c r="C16" s="195">
        <v>10348</v>
      </c>
      <c r="D16" s="195">
        <v>64169</v>
      </c>
      <c r="E16" s="195">
        <v>153817</v>
      </c>
      <c r="F16" s="195">
        <v>174897</v>
      </c>
      <c r="G16" s="195">
        <v>177109</v>
      </c>
      <c r="H16" s="195">
        <v>175494</v>
      </c>
      <c r="I16" s="196">
        <f t="shared" si="0"/>
        <v>-9.1186783280352568E-3</v>
      </c>
      <c r="J16" s="196">
        <f>H16/H11</f>
        <v>0.40293891420896139</v>
      </c>
      <c r="K16" s="103"/>
      <c r="L16" s="103"/>
      <c r="M16" s="194" t="s">
        <v>112</v>
      </c>
      <c r="N16" s="195">
        <v>247</v>
      </c>
      <c r="O16" s="195">
        <v>2693</v>
      </c>
      <c r="P16" s="195">
        <v>8053</v>
      </c>
      <c r="Q16" s="195">
        <v>9284</v>
      </c>
      <c r="R16" s="195">
        <v>9243</v>
      </c>
      <c r="S16" s="196">
        <f t="shared" si="1"/>
        <v>-4.4161999138302432E-3</v>
      </c>
      <c r="T16" s="196">
        <f>R16/R11</f>
        <v>0.43636106127844398</v>
      </c>
    </row>
    <row r="17" spans="1:20" x14ac:dyDescent="0.25">
      <c r="B17" s="194" t="s">
        <v>115</v>
      </c>
      <c r="C17" s="195">
        <v>1689</v>
      </c>
      <c r="D17" s="195">
        <v>29438</v>
      </c>
      <c r="E17" s="195">
        <v>28674</v>
      </c>
      <c r="F17" s="195">
        <v>31033</v>
      </c>
      <c r="G17" s="195">
        <v>29833</v>
      </c>
      <c r="H17" s="195">
        <v>29353</v>
      </c>
      <c r="I17" s="196">
        <f t="shared" si="0"/>
        <v>-1.6089565246539039E-2</v>
      </c>
      <c r="J17" s="196">
        <f>H17/H11</f>
        <v>6.7395272480971685E-2</v>
      </c>
      <c r="K17" s="103"/>
      <c r="L17" s="103"/>
      <c r="M17" s="194" t="s">
        <v>115</v>
      </c>
      <c r="N17" s="195">
        <v>76</v>
      </c>
      <c r="O17" s="195">
        <v>827</v>
      </c>
      <c r="P17" s="195">
        <v>1047</v>
      </c>
      <c r="Q17" s="195">
        <v>1465</v>
      </c>
      <c r="R17" s="195">
        <v>1114</v>
      </c>
      <c r="S17" s="196">
        <f t="shared" si="1"/>
        <v>-0.23959044368600679</v>
      </c>
      <c r="T17" s="196">
        <f>R17/R11</f>
        <v>5.2591823246152393E-2</v>
      </c>
    </row>
    <row r="18" spans="1:20" x14ac:dyDescent="0.25">
      <c r="B18" s="194" t="s">
        <v>118</v>
      </c>
      <c r="C18" s="195">
        <v>2195</v>
      </c>
      <c r="D18" s="195">
        <v>9908</v>
      </c>
      <c r="E18" s="195">
        <v>14090</v>
      </c>
      <c r="F18" s="195">
        <v>15420</v>
      </c>
      <c r="G18" s="195">
        <v>15379</v>
      </c>
      <c r="H18" s="195">
        <v>15645</v>
      </c>
      <c r="I18" s="196">
        <f t="shared" si="0"/>
        <v>1.7296313154301357E-2</v>
      </c>
      <c r="J18" s="196">
        <f>H18/H11</f>
        <v>3.5921338124375771E-2</v>
      </c>
      <c r="K18" s="103"/>
      <c r="L18" s="103"/>
      <c r="M18" s="194" t="s">
        <v>118</v>
      </c>
      <c r="N18" s="195">
        <v>256</v>
      </c>
      <c r="O18" s="195">
        <v>1185</v>
      </c>
      <c r="P18" s="195">
        <v>1641</v>
      </c>
      <c r="Q18" s="195">
        <v>2059</v>
      </c>
      <c r="R18" s="195">
        <v>1668</v>
      </c>
      <c r="S18" s="196">
        <f t="shared" si="1"/>
        <v>-0.18989800874210783</v>
      </c>
      <c r="T18" s="196">
        <f>R18/R11</f>
        <v>7.8746105183646498E-2</v>
      </c>
    </row>
    <row r="19" spans="1:20" x14ac:dyDescent="0.25">
      <c r="B19" s="194" t="s">
        <v>125</v>
      </c>
      <c r="C19" s="195">
        <v>476</v>
      </c>
      <c r="D19" s="195">
        <v>13430</v>
      </c>
      <c r="E19" s="195">
        <v>13656</v>
      </c>
      <c r="F19" s="195">
        <v>13942</v>
      </c>
      <c r="G19" s="195">
        <v>13294</v>
      </c>
      <c r="H19" s="195">
        <v>13038</v>
      </c>
      <c r="I19" s="196">
        <f t="shared" si="0"/>
        <v>-1.925680758236803E-2</v>
      </c>
      <c r="J19" s="196">
        <f>H19/H11</f>
        <v>2.9935596450342682E-2</v>
      </c>
      <c r="K19" s="103"/>
      <c r="L19" s="103"/>
      <c r="M19" s="194" t="s">
        <v>125</v>
      </c>
      <c r="N19" s="195">
        <v>2</v>
      </c>
      <c r="O19" s="195">
        <v>686</v>
      </c>
      <c r="P19" s="195">
        <v>808</v>
      </c>
      <c r="Q19" s="195">
        <v>805</v>
      </c>
      <c r="R19" s="195">
        <v>446</v>
      </c>
      <c r="S19" s="196">
        <f t="shared" si="1"/>
        <v>-0.4459627329192547</v>
      </c>
      <c r="T19" s="196">
        <f>R19/R11</f>
        <v>2.1055613256538569E-2</v>
      </c>
    </row>
    <row r="20" spans="1:20" x14ac:dyDescent="0.25">
      <c r="B20" s="194" t="s">
        <v>121</v>
      </c>
      <c r="C20" s="195">
        <v>8280</v>
      </c>
      <c r="D20" s="195">
        <v>12066</v>
      </c>
      <c r="E20" s="195">
        <v>10921</v>
      </c>
      <c r="F20" s="195">
        <v>11159</v>
      </c>
      <c r="G20" s="195">
        <v>11085</v>
      </c>
      <c r="H20" s="195">
        <v>10927</v>
      </c>
      <c r="I20" s="196">
        <f t="shared" si="0"/>
        <v>-1.4253495714930065E-2</v>
      </c>
      <c r="J20" s="196">
        <f>H20/H11</f>
        <v>2.5088684032282135E-2</v>
      </c>
      <c r="K20" s="103"/>
      <c r="L20" s="103"/>
      <c r="M20" s="194" t="s">
        <v>121</v>
      </c>
      <c r="N20" s="195">
        <v>168</v>
      </c>
      <c r="O20" s="195">
        <v>500</v>
      </c>
      <c r="P20" s="195">
        <v>331</v>
      </c>
      <c r="Q20" s="195">
        <v>339</v>
      </c>
      <c r="R20" s="195">
        <v>217</v>
      </c>
      <c r="S20" s="196">
        <f t="shared" si="1"/>
        <v>-0.35988200589970498</v>
      </c>
      <c r="T20" s="196">
        <f>R20/R11</f>
        <v>1.0244547257105089E-2</v>
      </c>
    </row>
    <row r="21" spans="1:20" x14ac:dyDescent="0.25">
      <c r="B21" s="194" t="s">
        <v>130</v>
      </c>
      <c r="C21" s="195">
        <v>49</v>
      </c>
      <c r="D21" s="195">
        <v>873</v>
      </c>
      <c r="E21" s="195">
        <v>1312</v>
      </c>
      <c r="F21" s="195">
        <v>1217</v>
      </c>
      <c r="G21" s="195">
        <v>1499</v>
      </c>
      <c r="H21" s="195">
        <v>1402</v>
      </c>
      <c r="I21" s="196">
        <f t="shared" si="0"/>
        <v>-6.4709806537691761E-2</v>
      </c>
      <c r="J21" s="196">
        <f>H21/H11</f>
        <v>3.219029469503025E-3</v>
      </c>
      <c r="K21" s="103"/>
      <c r="L21" s="103"/>
      <c r="M21" s="194" t="s">
        <v>130</v>
      </c>
      <c r="N21" s="195">
        <v>2</v>
      </c>
      <c r="O21" s="195">
        <v>3</v>
      </c>
      <c r="P21" s="195">
        <v>21</v>
      </c>
      <c r="Q21" s="195">
        <v>12</v>
      </c>
      <c r="R21" s="195">
        <v>10</v>
      </c>
      <c r="S21" s="196">
        <f t="shared" si="1"/>
        <v>-0.16666666666666663</v>
      </c>
      <c r="T21" s="196">
        <f>R21/R11</f>
        <v>4.720989519403267E-4</v>
      </c>
    </row>
    <row r="22" spans="1:20" x14ac:dyDescent="0.25">
      <c r="A22" s="198"/>
      <c r="B22" s="194" t="s">
        <v>133</v>
      </c>
      <c r="C22" s="195">
        <v>111</v>
      </c>
      <c r="D22" s="195">
        <v>273</v>
      </c>
      <c r="E22" s="195">
        <v>714</v>
      </c>
      <c r="F22" s="195">
        <v>953</v>
      </c>
      <c r="G22" s="195">
        <v>552</v>
      </c>
      <c r="H22" s="195">
        <v>411</v>
      </c>
      <c r="I22" s="196">
        <f t="shared" si="0"/>
        <v>-0.25543478260869568</v>
      </c>
      <c r="J22" s="196">
        <f>H22/H11</f>
        <v>9.436669842836971E-4</v>
      </c>
      <c r="K22" s="103"/>
      <c r="L22" s="103"/>
      <c r="M22" s="194" t="s">
        <v>133</v>
      </c>
      <c r="N22" s="195">
        <v>0</v>
      </c>
      <c r="O22" s="195">
        <v>0</v>
      </c>
      <c r="P22" s="195">
        <v>0</v>
      </c>
      <c r="Q22" s="195">
        <v>11</v>
      </c>
      <c r="R22" s="195">
        <v>12</v>
      </c>
      <c r="S22" s="196">
        <f t="shared" si="1"/>
        <v>9.0909090909090828E-2</v>
      </c>
      <c r="T22" s="196">
        <f>R22/R11</f>
        <v>5.6651874232839202E-4</v>
      </c>
    </row>
    <row r="23" spans="1:20" x14ac:dyDescent="0.25">
      <c r="B23" s="199" t="s">
        <v>147</v>
      </c>
      <c r="C23" s="200">
        <f t="shared" ref="C23:H23" si="2">C15-SUM(C16:C22)</f>
        <v>13534</v>
      </c>
      <c r="D23" s="200">
        <f t="shared" si="2"/>
        <v>52498</v>
      </c>
      <c r="E23" s="200">
        <f t="shared" si="2"/>
        <v>71688</v>
      </c>
      <c r="F23" s="200">
        <f t="shared" si="2"/>
        <v>73088</v>
      </c>
      <c r="G23" s="200">
        <f t="shared" si="2"/>
        <v>84813</v>
      </c>
      <c r="H23" s="200">
        <f t="shared" si="2"/>
        <v>84946</v>
      </c>
      <c r="I23" s="201">
        <f t="shared" si="0"/>
        <v>1.5681558251683381E-3</v>
      </c>
      <c r="J23" s="201">
        <f>H23/H11</f>
        <v>0.19503828624565189</v>
      </c>
      <c r="K23" s="202"/>
      <c r="L23" s="202"/>
      <c r="M23" s="199" t="s">
        <v>147</v>
      </c>
      <c r="N23" s="200">
        <f>N15-SUM(N16:N22)</f>
        <v>996</v>
      </c>
      <c r="O23" s="200">
        <f>O15-SUM(O16:O22)</f>
        <v>4181</v>
      </c>
      <c r="P23" s="200">
        <f>P15-SUM(P16:P22)</f>
        <v>4783</v>
      </c>
      <c r="Q23" s="200">
        <f>Q15-SUM(Q16:Q22)</f>
        <v>4749</v>
      </c>
      <c r="R23" s="200">
        <f>R15-SUM(R16:R22)</f>
        <v>5634</v>
      </c>
      <c r="S23" s="201">
        <f t="shared" si="1"/>
        <v>0.18635502210991794</v>
      </c>
      <c r="T23" s="201">
        <f>R23/R11</f>
        <v>0.26598054952318007</v>
      </c>
    </row>
    <row r="24" spans="1:20" x14ac:dyDescent="0.25">
      <c r="B24" s="186" t="s">
        <v>46</v>
      </c>
      <c r="C24" s="207"/>
      <c r="D24" s="207"/>
      <c r="E24" s="207"/>
      <c r="F24" s="207"/>
      <c r="G24" s="207"/>
      <c r="H24" s="207"/>
      <c r="I24" s="208"/>
      <c r="J24" s="208"/>
      <c r="K24" s="131"/>
      <c r="L24" s="131"/>
      <c r="M24" s="131"/>
      <c r="N24" s="131"/>
      <c r="O24" s="131"/>
      <c r="P24" s="131"/>
      <c r="Q24" s="131"/>
      <c r="R24" s="131"/>
      <c r="S24" s="131"/>
    </row>
    <row r="25" spans="1:20" x14ac:dyDescent="0.25">
      <c r="B25" s="187" t="s">
        <v>70</v>
      </c>
      <c r="C25" s="209">
        <v>37281</v>
      </c>
      <c r="D25" s="209">
        <v>105384</v>
      </c>
      <c r="E25" s="209">
        <v>140395</v>
      </c>
      <c r="F25" s="209">
        <v>153067</v>
      </c>
      <c r="G25" s="209">
        <v>148572</v>
      </c>
      <c r="H25" s="209">
        <v>143018</v>
      </c>
      <c r="I25" s="210">
        <f t="shared" ref="I25:I37" si="3">IFERROR(H25/G25-1,"-")</f>
        <v>-3.738254852865952E-2</v>
      </c>
      <c r="J25" s="210">
        <f>H25/H25</f>
        <v>1</v>
      </c>
    </row>
    <row r="26" spans="1:20" x14ac:dyDescent="0.25">
      <c r="B26" s="190" t="s">
        <v>99</v>
      </c>
      <c r="C26" s="191">
        <v>24772</v>
      </c>
      <c r="D26" s="191">
        <v>26618</v>
      </c>
      <c r="E26" s="191">
        <v>19659</v>
      </c>
      <c r="F26" s="191">
        <v>17879</v>
      </c>
      <c r="G26" s="191">
        <v>15893</v>
      </c>
      <c r="H26" s="191">
        <v>14504</v>
      </c>
      <c r="I26" s="192">
        <f t="shared" si="3"/>
        <v>-8.739696721827217E-2</v>
      </c>
      <c r="J26" s="192">
        <f>H26/H25</f>
        <v>0.10141380805213329</v>
      </c>
    </row>
    <row r="27" spans="1:20" x14ac:dyDescent="0.25">
      <c r="B27" s="194" t="s">
        <v>105</v>
      </c>
      <c r="C27" s="195">
        <v>15287</v>
      </c>
      <c r="D27" s="195">
        <v>11740</v>
      </c>
      <c r="E27" s="195">
        <v>7997</v>
      </c>
      <c r="F27" s="195">
        <v>7212</v>
      </c>
      <c r="G27" s="195">
        <v>5816</v>
      </c>
      <c r="H27" s="195">
        <v>7469</v>
      </c>
      <c r="I27" s="196">
        <f t="shared" si="3"/>
        <v>0.28421595598349381</v>
      </c>
      <c r="J27" s="196">
        <f>H27/H25</f>
        <v>5.2224195555804168E-2</v>
      </c>
    </row>
    <row r="28" spans="1:20" x14ac:dyDescent="0.25">
      <c r="B28" s="194" t="s">
        <v>102</v>
      </c>
      <c r="C28" s="195">
        <v>9485</v>
      </c>
      <c r="D28" s="195">
        <v>14878</v>
      </c>
      <c r="E28" s="195">
        <v>11662</v>
      </c>
      <c r="F28" s="195">
        <v>10667</v>
      </c>
      <c r="G28" s="195">
        <v>10077</v>
      </c>
      <c r="H28" s="195">
        <v>7035</v>
      </c>
      <c r="I28" s="196">
        <f t="shared" si="3"/>
        <v>-0.30187555820184575</v>
      </c>
      <c r="J28" s="196">
        <f>H28/H25</f>
        <v>4.9189612496329131E-2</v>
      </c>
    </row>
    <row r="29" spans="1:20" x14ac:dyDescent="0.25">
      <c r="B29" s="190" t="s">
        <v>109</v>
      </c>
      <c r="C29" s="191">
        <v>12509</v>
      </c>
      <c r="D29" s="191">
        <v>78766</v>
      </c>
      <c r="E29" s="191">
        <v>120736</v>
      </c>
      <c r="F29" s="191">
        <v>135188</v>
      </c>
      <c r="G29" s="191">
        <v>132679</v>
      </c>
      <c r="H29" s="191">
        <v>128514</v>
      </c>
      <c r="I29" s="192">
        <f t="shared" si="3"/>
        <v>-3.1391554051507731E-2</v>
      </c>
      <c r="J29" s="192">
        <f>H29/H25</f>
        <v>0.89858619194786671</v>
      </c>
    </row>
    <row r="30" spans="1:20" x14ac:dyDescent="0.25">
      <c r="B30" s="194" t="s">
        <v>112</v>
      </c>
      <c r="C30" s="195">
        <v>3761</v>
      </c>
      <c r="D30" s="195">
        <v>29320</v>
      </c>
      <c r="E30" s="195">
        <v>68680</v>
      </c>
      <c r="F30" s="195">
        <v>79984</v>
      </c>
      <c r="G30" s="195">
        <v>76583</v>
      </c>
      <c r="H30" s="195">
        <v>76146</v>
      </c>
      <c r="I30" s="196">
        <f t="shared" si="3"/>
        <v>-5.706227230586447E-3</v>
      </c>
      <c r="J30" s="196">
        <f>H30/H25</f>
        <v>0.53242249227369987</v>
      </c>
    </row>
    <row r="31" spans="1:20" x14ac:dyDescent="0.25">
      <c r="B31" s="194" t="s">
        <v>115</v>
      </c>
      <c r="C31" s="195">
        <v>577</v>
      </c>
      <c r="D31" s="195">
        <v>16025</v>
      </c>
      <c r="E31" s="195">
        <v>12907</v>
      </c>
      <c r="F31" s="195">
        <v>13896</v>
      </c>
      <c r="G31" s="195">
        <v>13107</v>
      </c>
      <c r="H31" s="195">
        <v>11892</v>
      </c>
      <c r="I31" s="196">
        <f t="shared" si="3"/>
        <v>-9.2698558022430766E-2</v>
      </c>
      <c r="J31" s="196">
        <f>H31/H25</f>
        <v>8.3150372680361906E-2</v>
      </c>
    </row>
    <row r="32" spans="1:20" x14ac:dyDescent="0.25">
      <c r="B32" s="194" t="s">
        <v>118</v>
      </c>
      <c r="C32" s="195">
        <v>757</v>
      </c>
      <c r="D32" s="195">
        <v>2945</v>
      </c>
      <c r="E32" s="195">
        <v>4266</v>
      </c>
      <c r="F32" s="195">
        <v>4861</v>
      </c>
      <c r="G32" s="195">
        <v>3048</v>
      </c>
      <c r="H32" s="195">
        <v>3323</v>
      </c>
      <c r="I32" s="196">
        <f t="shared" si="3"/>
        <v>9.0223097112860806E-2</v>
      </c>
      <c r="J32" s="196">
        <f>H32/H25</f>
        <v>2.3234837572892922E-2</v>
      </c>
    </row>
    <row r="33" spans="2:10" x14ac:dyDescent="0.25">
      <c r="B33" s="194" t="s">
        <v>125</v>
      </c>
      <c r="C33" s="195">
        <v>194</v>
      </c>
      <c r="D33" s="195">
        <v>6334</v>
      </c>
      <c r="E33" s="195">
        <v>6059</v>
      </c>
      <c r="F33" s="195">
        <v>5713</v>
      </c>
      <c r="G33" s="195">
        <v>5429</v>
      </c>
      <c r="H33" s="195">
        <v>5142</v>
      </c>
      <c r="I33" s="196">
        <f t="shared" si="3"/>
        <v>-5.2864247559403221E-2</v>
      </c>
      <c r="J33" s="196">
        <f>H33/H25</f>
        <v>3.5953516340600483E-2</v>
      </c>
    </row>
    <row r="34" spans="2:10" x14ac:dyDescent="0.25">
      <c r="B34" s="194" t="s">
        <v>121</v>
      </c>
      <c r="C34" s="195">
        <v>3745</v>
      </c>
      <c r="D34" s="195">
        <v>6568</v>
      </c>
      <c r="E34" s="195">
        <v>5560</v>
      </c>
      <c r="F34" s="195">
        <v>5596</v>
      </c>
      <c r="G34" s="195">
        <v>5752</v>
      </c>
      <c r="H34" s="195">
        <v>5417</v>
      </c>
      <c r="I34" s="196">
        <f t="shared" si="3"/>
        <v>-5.8240611961057009E-2</v>
      </c>
      <c r="J34" s="196">
        <f>H34/H25</f>
        <v>3.7876351228516687E-2</v>
      </c>
    </row>
    <row r="35" spans="2:10" x14ac:dyDescent="0.25">
      <c r="B35" s="194" t="s">
        <v>130</v>
      </c>
      <c r="C35" s="195">
        <v>1</v>
      </c>
      <c r="D35" s="195">
        <v>187</v>
      </c>
      <c r="E35" s="195">
        <v>487</v>
      </c>
      <c r="F35" s="195">
        <v>563</v>
      </c>
      <c r="G35" s="195">
        <v>786</v>
      </c>
      <c r="H35" s="195">
        <v>512</v>
      </c>
      <c r="I35" s="196">
        <f t="shared" si="3"/>
        <v>-0.34860050890585237</v>
      </c>
      <c r="J35" s="196">
        <f>H35/H25</f>
        <v>3.5799689549567189E-3</v>
      </c>
    </row>
    <row r="36" spans="2:10" x14ac:dyDescent="0.25">
      <c r="B36" s="194" t="s">
        <v>133</v>
      </c>
      <c r="C36" s="195">
        <v>16</v>
      </c>
      <c r="D36" s="195">
        <v>54</v>
      </c>
      <c r="E36" s="195">
        <v>382</v>
      </c>
      <c r="F36" s="195">
        <v>399</v>
      </c>
      <c r="G36" s="195">
        <v>175</v>
      </c>
      <c r="H36" s="195">
        <v>80</v>
      </c>
      <c r="I36" s="196">
        <f t="shared" si="3"/>
        <v>-0.54285714285714293</v>
      </c>
      <c r="J36" s="196">
        <f>H36/H25</f>
        <v>5.5937014921198728E-4</v>
      </c>
    </row>
    <row r="37" spans="2:10" x14ac:dyDescent="0.25">
      <c r="B37" s="199" t="s">
        <v>147</v>
      </c>
      <c r="C37" s="200">
        <f t="shared" ref="C37:H37" si="4">C29-SUM(C30:C36)</f>
        <v>3458</v>
      </c>
      <c r="D37" s="200">
        <f t="shared" si="4"/>
        <v>17333</v>
      </c>
      <c r="E37" s="200">
        <f t="shared" si="4"/>
        <v>22395</v>
      </c>
      <c r="F37" s="200">
        <f t="shared" si="4"/>
        <v>24176</v>
      </c>
      <c r="G37" s="200">
        <f t="shared" si="4"/>
        <v>27799</v>
      </c>
      <c r="H37" s="200">
        <f t="shared" si="4"/>
        <v>26002</v>
      </c>
      <c r="I37" s="201">
        <f t="shared" si="3"/>
        <v>-6.4642613043634611E-2</v>
      </c>
      <c r="J37" s="201">
        <f>H37/H25</f>
        <v>0.18180928274762617</v>
      </c>
    </row>
    <row r="38" spans="2:10" x14ac:dyDescent="0.25">
      <c r="B38" s="186" t="s">
        <v>47</v>
      </c>
      <c r="C38" s="207"/>
      <c r="D38" s="207"/>
      <c r="E38" s="207"/>
      <c r="F38" s="207"/>
      <c r="G38" s="207"/>
      <c r="H38" s="207"/>
      <c r="I38" s="208"/>
      <c r="J38" s="208"/>
    </row>
    <row r="39" spans="2:10" x14ac:dyDescent="0.25">
      <c r="B39" s="187" t="s">
        <v>70</v>
      </c>
      <c r="C39" s="209">
        <v>18180</v>
      </c>
      <c r="D39" s="209">
        <v>59020</v>
      </c>
      <c r="E39" s="209">
        <v>103298</v>
      </c>
      <c r="F39" s="209">
        <v>107312</v>
      </c>
      <c r="G39" s="209">
        <v>111150</v>
      </c>
      <c r="H39" s="209">
        <v>115871</v>
      </c>
      <c r="I39" s="210">
        <f t="shared" ref="I39:I51" si="5">IFERROR(H39/G39-1,"-")</f>
        <v>4.2474134053081425E-2</v>
      </c>
      <c r="J39" s="210">
        <f>H39/H39</f>
        <v>1</v>
      </c>
    </row>
    <row r="40" spans="2:10" x14ac:dyDescent="0.25">
      <c r="B40" s="190" t="s">
        <v>99</v>
      </c>
      <c r="C40" s="191">
        <v>7078</v>
      </c>
      <c r="D40" s="191">
        <v>8593</v>
      </c>
      <c r="E40" s="191">
        <v>11009</v>
      </c>
      <c r="F40" s="191">
        <v>10743</v>
      </c>
      <c r="G40" s="191">
        <v>10757</v>
      </c>
      <c r="H40" s="191">
        <v>12182</v>
      </c>
      <c r="I40" s="192">
        <f t="shared" si="5"/>
        <v>0.1324718787766106</v>
      </c>
      <c r="J40" s="192">
        <f>H40/H39</f>
        <v>0.10513415781343045</v>
      </c>
    </row>
    <row r="41" spans="2:10" x14ac:dyDescent="0.25">
      <c r="B41" s="194" t="s">
        <v>105</v>
      </c>
      <c r="C41" s="195">
        <v>4100</v>
      </c>
      <c r="D41" s="195">
        <v>2824</v>
      </c>
      <c r="E41" s="195">
        <v>3964</v>
      </c>
      <c r="F41" s="195">
        <v>4631</v>
      </c>
      <c r="G41" s="195">
        <v>4675</v>
      </c>
      <c r="H41" s="195">
        <v>5969</v>
      </c>
      <c r="I41" s="196">
        <f t="shared" si="5"/>
        <v>0.27679144385026744</v>
      </c>
      <c r="J41" s="196">
        <f>H41/H39</f>
        <v>5.1514183876897587E-2</v>
      </c>
    </row>
    <row r="42" spans="2:10" x14ac:dyDescent="0.25">
      <c r="B42" s="194" t="s">
        <v>102</v>
      </c>
      <c r="C42" s="195">
        <v>2978</v>
      </c>
      <c r="D42" s="195">
        <v>5769</v>
      </c>
      <c r="E42" s="195">
        <v>7045</v>
      </c>
      <c r="F42" s="195">
        <v>6112</v>
      </c>
      <c r="G42" s="195">
        <v>6082</v>
      </c>
      <c r="H42" s="195">
        <v>6213</v>
      </c>
      <c r="I42" s="196">
        <f t="shared" si="5"/>
        <v>2.1538967444919344E-2</v>
      </c>
      <c r="J42" s="196">
        <f>H42/H39</f>
        <v>5.3619973936532866E-2</v>
      </c>
    </row>
    <row r="43" spans="2:10" x14ac:dyDescent="0.25">
      <c r="B43" s="190" t="s">
        <v>109</v>
      </c>
      <c r="C43" s="191">
        <v>11102</v>
      </c>
      <c r="D43" s="191">
        <v>50427</v>
      </c>
      <c r="E43" s="191">
        <v>92289</v>
      </c>
      <c r="F43" s="191">
        <v>96569</v>
      </c>
      <c r="G43" s="191">
        <v>100393</v>
      </c>
      <c r="H43" s="191">
        <v>103689</v>
      </c>
      <c r="I43" s="192">
        <f t="shared" si="5"/>
        <v>3.2830974271114588E-2</v>
      </c>
      <c r="J43" s="192">
        <f>H43/H39</f>
        <v>0.8948658421865695</v>
      </c>
    </row>
    <row r="44" spans="2:10" x14ac:dyDescent="0.25">
      <c r="B44" s="194" t="s">
        <v>112</v>
      </c>
      <c r="C44" s="195">
        <v>4395</v>
      </c>
      <c r="D44" s="195">
        <v>23200</v>
      </c>
      <c r="E44" s="195">
        <v>55821</v>
      </c>
      <c r="F44" s="195">
        <v>60872</v>
      </c>
      <c r="G44" s="195">
        <v>62946</v>
      </c>
      <c r="H44" s="195">
        <v>61772</v>
      </c>
      <c r="I44" s="196">
        <f t="shared" si="5"/>
        <v>-1.8650907126743554E-2</v>
      </c>
      <c r="J44" s="196">
        <f>H44/H39</f>
        <v>0.53311009657291297</v>
      </c>
    </row>
    <row r="45" spans="2:10" x14ac:dyDescent="0.25">
      <c r="B45" s="194" t="s">
        <v>115</v>
      </c>
      <c r="C45" s="195">
        <v>238</v>
      </c>
      <c r="D45" s="195">
        <v>2765</v>
      </c>
      <c r="E45" s="195">
        <v>2665</v>
      </c>
      <c r="F45" s="195">
        <v>3076</v>
      </c>
      <c r="G45" s="195">
        <v>2728</v>
      </c>
      <c r="H45" s="195">
        <v>3215</v>
      </c>
      <c r="I45" s="196">
        <f t="shared" si="5"/>
        <v>0.17851906158357767</v>
      </c>
      <c r="J45" s="196">
        <f>H45/H39</f>
        <v>2.7746373121833763E-2</v>
      </c>
    </row>
    <row r="46" spans="2:10" x14ac:dyDescent="0.25">
      <c r="B46" s="194" t="s">
        <v>118</v>
      </c>
      <c r="C46" s="195">
        <v>368</v>
      </c>
      <c r="D46" s="195">
        <v>1381</v>
      </c>
      <c r="E46" s="195">
        <v>1823</v>
      </c>
      <c r="F46" s="195">
        <v>1975</v>
      </c>
      <c r="G46" s="195">
        <v>1850</v>
      </c>
      <c r="H46" s="195">
        <v>2168</v>
      </c>
      <c r="I46" s="196">
        <f t="shared" si="5"/>
        <v>0.17189189189189191</v>
      </c>
      <c r="J46" s="196">
        <f>H46/H39</f>
        <v>1.8710462497087278E-2</v>
      </c>
    </row>
    <row r="47" spans="2:10" x14ac:dyDescent="0.25">
      <c r="B47" s="194" t="s">
        <v>125</v>
      </c>
      <c r="C47" s="195">
        <v>158</v>
      </c>
      <c r="D47" s="195">
        <v>4567</v>
      </c>
      <c r="E47" s="195">
        <v>4984</v>
      </c>
      <c r="F47" s="195">
        <v>5095</v>
      </c>
      <c r="G47" s="195">
        <v>4458</v>
      </c>
      <c r="H47" s="195">
        <v>4443</v>
      </c>
      <c r="I47" s="196">
        <f t="shared" si="5"/>
        <v>-3.3647375504710642E-3</v>
      </c>
      <c r="J47" s="196">
        <f>H47/H39</f>
        <v>3.8344365717047406E-2</v>
      </c>
    </row>
    <row r="48" spans="2:10" x14ac:dyDescent="0.25">
      <c r="B48" s="194" t="s">
        <v>121</v>
      </c>
      <c r="C48" s="195">
        <v>2218</v>
      </c>
      <c r="D48" s="195">
        <v>3200</v>
      </c>
      <c r="E48" s="195">
        <v>3335</v>
      </c>
      <c r="F48" s="195">
        <v>3714</v>
      </c>
      <c r="G48" s="195">
        <v>3091</v>
      </c>
      <c r="H48" s="195">
        <v>3541</v>
      </c>
      <c r="I48" s="196">
        <f t="shared" si="5"/>
        <v>0.1455839534131349</v>
      </c>
      <c r="J48" s="196">
        <f>H48/H39</f>
        <v>3.0559846726100577E-2</v>
      </c>
    </row>
    <row r="49" spans="2:10" x14ac:dyDescent="0.25">
      <c r="B49" s="194" t="s">
        <v>130</v>
      </c>
      <c r="C49" s="195">
        <v>8</v>
      </c>
      <c r="D49" s="195">
        <v>516</v>
      </c>
      <c r="E49" s="195">
        <v>493</v>
      </c>
      <c r="F49" s="195">
        <v>422</v>
      </c>
      <c r="G49" s="195">
        <v>439</v>
      </c>
      <c r="H49" s="195">
        <v>495</v>
      </c>
      <c r="I49" s="196">
        <f t="shared" si="5"/>
        <v>0.1275626423690206</v>
      </c>
      <c r="J49" s="196">
        <f>H49/H39</f>
        <v>4.2719921291781374E-3</v>
      </c>
    </row>
    <row r="50" spans="2:10" x14ac:dyDescent="0.25">
      <c r="B50" s="194" t="s">
        <v>133</v>
      </c>
      <c r="C50" s="195">
        <v>27</v>
      </c>
      <c r="D50" s="195">
        <v>62</v>
      </c>
      <c r="E50" s="195">
        <v>100</v>
      </c>
      <c r="F50" s="195">
        <v>349</v>
      </c>
      <c r="G50" s="195">
        <v>104</v>
      </c>
      <c r="H50" s="195">
        <v>144</v>
      </c>
      <c r="I50" s="196">
        <f t="shared" si="5"/>
        <v>0.38461538461538458</v>
      </c>
      <c r="J50" s="196">
        <f>H50/H39</f>
        <v>1.2427613466700037E-3</v>
      </c>
    </row>
    <row r="51" spans="2:10" x14ac:dyDescent="0.25">
      <c r="B51" s="199" t="s">
        <v>147</v>
      </c>
      <c r="C51" s="200">
        <f t="shared" ref="C51:H51" si="6">C43-SUM(C44:C50)</f>
        <v>3690</v>
      </c>
      <c r="D51" s="200">
        <f t="shared" si="6"/>
        <v>14736</v>
      </c>
      <c r="E51" s="200">
        <f t="shared" si="6"/>
        <v>23068</v>
      </c>
      <c r="F51" s="200">
        <f t="shared" si="6"/>
        <v>21066</v>
      </c>
      <c r="G51" s="200">
        <f t="shared" si="6"/>
        <v>24777</v>
      </c>
      <c r="H51" s="200">
        <f t="shared" si="6"/>
        <v>27911</v>
      </c>
      <c r="I51" s="201">
        <f t="shared" si="5"/>
        <v>0.12648827541671714</v>
      </c>
      <c r="J51" s="201">
        <f>H51/H39</f>
        <v>0.2408799440757394</v>
      </c>
    </row>
    <row r="52" spans="2:10" x14ac:dyDescent="0.25">
      <c r="B52" s="186" t="s">
        <v>48</v>
      </c>
      <c r="C52" s="207"/>
      <c r="D52" s="207"/>
      <c r="E52" s="207"/>
      <c r="F52" s="207"/>
      <c r="G52" s="207"/>
      <c r="H52" s="207"/>
      <c r="I52" s="208"/>
      <c r="J52" s="208"/>
    </row>
    <row r="53" spans="2:10" x14ac:dyDescent="0.25">
      <c r="B53" s="187" t="s">
        <v>70</v>
      </c>
      <c r="C53" s="209">
        <v>220</v>
      </c>
      <c r="D53" s="209">
        <v>2289</v>
      </c>
      <c r="E53" s="209">
        <v>3143</v>
      </c>
      <c r="F53" s="209">
        <v>3734</v>
      </c>
      <c r="G53" s="209">
        <v>3135</v>
      </c>
      <c r="H53" s="209">
        <v>3984</v>
      </c>
      <c r="I53" s="210">
        <f t="shared" ref="I53:I65" si="7">IFERROR(H53/G53-1,"-")</f>
        <v>0.27081339712918662</v>
      </c>
      <c r="J53" s="210">
        <f>H53/H53</f>
        <v>1</v>
      </c>
    </row>
    <row r="54" spans="2:10" x14ac:dyDescent="0.25">
      <c r="B54" s="190" t="s">
        <v>99</v>
      </c>
      <c r="C54" s="191">
        <v>116</v>
      </c>
      <c r="D54" s="191">
        <v>638</v>
      </c>
      <c r="E54" s="191">
        <v>517</v>
      </c>
      <c r="F54" s="191">
        <v>1723</v>
      </c>
      <c r="G54" s="191">
        <v>878</v>
      </c>
      <c r="H54" s="191">
        <v>1342</v>
      </c>
      <c r="I54" s="192">
        <f t="shared" si="7"/>
        <v>0.52847380410022771</v>
      </c>
      <c r="J54" s="192">
        <f>H54/H53</f>
        <v>0.33684738955823296</v>
      </c>
    </row>
    <row r="55" spans="2:10" x14ac:dyDescent="0.25">
      <c r="B55" s="194" t="s">
        <v>105</v>
      </c>
      <c r="C55" s="195">
        <v>75</v>
      </c>
      <c r="D55" s="195">
        <v>323</v>
      </c>
      <c r="E55" s="195">
        <v>284</v>
      </c>
      <c r="F55" s="195">
        <v>1386</v>
      </c>
      <c r="G55" s="195">
        <v>669</v>
      </c>
      <c r="H55" s="195">
        <v>842</v>
      </c>
      <c r="I55" s="196">
        <f t="shared" si="7"/>
        <v>0.25859491778774291</v>
      </c>
      <c r="J55" s="196">
        <f>H55/H53</f>
        <v>0.21134538152610441</v>
      </c>
    </row>
    <row r="56" spans="2:10" x14ac:dyDescent="0.25">
      <c r="B56" s="194" t="s">
        <v>102</v>
      </c>
      <c r="C56" s="195">
        <v>41</v>
      </c>
      <c r="D56" s="195">
        <v>315</v>
      </c>
      <c r="E56" s="195">
        <v>233</v>
      </c>
      <c r="F56" s="195">
        <v>337</v>
      </c>
      <c r="G56" s="195">
        <v>209</v>
      </c>
      <c r="H56" s="195">
        <v>500</v>
      </c>
      <c r="I56" s="196">
        <f t="shared" si="7"/>
        <v>1.3923444976076556</v>
      </c>
      <c r="J56" s="196">
        <f>H56/H53</f>
        <v>0.12550200803212852</v>
      </c>
    </row>
    <row r="57" spans="2:10" x14ac:dyDescent="0.25">
      <c r="B57" s="190" t="s">
        <v>109</v>
      </c>
      <c r="C57" s="191">
        <v>104</v>
      </c>
      <c r="D57" s="191">
        <v>1651</v>
      </c>
      <c r="E57" s="191">
        <v>2626</v>
      </c>
      <c r="F57" s="191">
        <v>2011</v>
      </c>
      <c r="G57" s="191">
        <v>2257</v>
      </c>
      <c r="H57" s="191">
        <v>2642</v>
      </c>
      <c r="I57" s="192">
        <f t="shared" si="7"/>
        <v>0.17058041648205591</v>
      </c>
      <c r="J57" s="192">
        <f>H57/H53</f>
        <v>0.6631526104417671</v>
      </c>
    </row>
    <row r="58" spans="2:10" x14ac:dyDescent="0.25">
      <c r="B58" s="194" t="s">
        <v>112</v>
      </c>
      <c r="C58" s="195">
        <v>23</v>
      </c>
      <c r="D58" s="195">
        <v>620</v>
      </c>
      <c r="E58" s="195">
        <v>817</v>
      </c>
      <c r="F58" s="195">
        <v>818</v>
      </c>
      <c r="G58" s="195">
        <v>852</v>
      </c>
      <c r="H58" s="195">
        <v>1001</v>
      </c>
      <c r="I58" s="196">
        <f t="shared" si="7"/>
        <v>0.17488262910798125</v>
      </c>
      <c r="J58" s="196">
        <f>H58/H53</f>
        <v>0.2512550200803213</v>
      </c>
    </row>
    <row r="59" spans="2:10" x14ac:dyDescent="0.25">
      <c r="B59" s="194" t="s">
        <v>115</v>
      </c>
      <c r="C59" s="195">
        <v>31</v>
      </c>
      <c r="D59" s="195">
        <v>429</v>
      </c>
      <c r="E59" s="195">
        <v>444</v>
      </c>
      <c r="F59" s="195">
        <v>347</v>
      </c>
      <c r="G59" s="195">
        <v>351</v>
      </c>
      <c r="H59" s="195">
        <v>430</v>
      </c>
      <c r="I59" s="196">
        <f t="shared" si="7"/>
        <v>0.22507122507122501</v>
      </c>
      <c r="J59" s="196">
        <f>H59/H53</f>
        <v>0.10793172690763052</v>
      </c>
    </row>
    <row r="60" spans="2:10" x14ac:dyDescent="0.25">
      <c r="B60" s="194" t="s">
        <v>118</v>
      </c>
      <c r="C60" s="195">
        <v>12</v>
      </c>
      <c r="D60" s="195">
        <v>99</v>
      </c>
      <c r="E60" s="195">
        <v>289</v>
      </c>
      <c r="F60" s="195">
        <v>156</v>
      </c>
      <c r="G60" s="195">
        <v>203</v>
      </c>
      <c r="H60" s="195">
        <v>270</v>
      </c>
      <c r="I60" s="196">
        <f t="shared" si="7"/>
        <v>0.33004926108374377</v>
      </c>
      <c r="J60" s="196">
        <f>H60/H53</f>
        <v>6.7771084337349394E-2</v>
      </c>
    </row>
    <row r="61" spans="2:10" x14ac:dyDescent="0.25">
      <c r="B61" s="194" t="s">
        <v>125</v>
      </c>
      <c r="C61" s="195">
        <v>0</v>
      </c>
      <c r="D61" s="195">
        <v>48</v>
      </c>
      <c r="E61" s="195">
        <v>47</v>
      </c>
      <c r="F61" s="195">
        <v>36</v>
      </c>
      <c r="G61" s="195">
        <v>77</v>
      </c>
      <c r="H61" s="195">
        <v>93</v>
      </c>
      <c r="I61" s="196">
        <f t="shared" si="7"/>
        <v>0.20779220779220786</v>
      </c>
      <c r="J61" s="196">
        <f>H61/H53</f>
        <v>2.3343373493975902E-2</v>
      </c>
    </row>
    <row r="62" spans="2:10" x14ac:dyDescent="0.25">
      <c r="B62" s="194" t="s">
        <v>121</v>
      </c>
      <c r="C62" s="195">
        <v>10</v>
      </c>
      <c r="D62" s="195">
        <v>21</v>
      </c>
      <c r="E62" s="195">
        <v>54</v>
      </c>
      <c r="F62" s="195">
        <v>18</v>
      </c>
      <c r="G62" s="195">
        <v>67</v>
      </c>
      <c r="H62" s="195">
        <v>53</v>
      </c>
      <c r="I62" s="196">
        <f t="shared" si="7"/>
        <v>-0.20895522388059706</v>
      </c>
      <c r="J62" s="196">
        <f>H62/H53</f>
        <v>1.3303212851405623E-2</v>
      </c>
    </row>
    <row r="63" spans="2:10" x14ac:dyDescent="0.25">
      <c r="B63" s="194" t="s">
        <v>130</v>
      </c>
      <c r="C63" s="195">
        <v>0</v>
      </c>
      <c r="D63" s="195">
        <v>0</v>
      </c>
      <c r="E63" s="195">
        <v>0</v>
      </c>
      <c r="F63" s="195">
        <v>6</v>
      </c>
      <c r="G63" s="195">
        <v>4</v>
      </c>
      <c r="H63" s="195">
        <v>2</v>
      </c>
      <c r="I63" s="196">
        <f t="shared" si="7"/>
        <v>-0.5</v>
      </c>
      <c r="J63" s="196">
        <f>H63/H53</f>
        <v>5.0200803212851401E-4</v>
      </c>
    </row>
    <row r="64" spans="2:10" x14ac:dyDescent="0.25">
      <c r="B64" s="194" t="s">
        <v>133</v>
      </c>
      <c r="C64" s="195">
        <v>0</v>
      </c>
      <c r="D64" s="195">
        <v>2</v>
      </c>
      <c r="E64" s="195">
        <v>0</v>
      </c>
      <c r="F64" s="195">
        <v>0</v>
      </c>
      <c r="G64" s="195">
        <v>0</v>
      </c>
      <c r="H64" s="195">
        <v>0</v>
      </c>
      <c r="I64" s="196" t="str">
        <f t="shared" si="7"/>
        <v>-</v>
      </c>
      <c r="J64" s="196">
        <f>H64/H53</f>
        <v>0</v>
      </c>
    </row>
    <row r="65" spans="2:10" x14ac:dyDescent="0.25">
      <c r="B65" s="199" t="s">
        <v>147</v>
      </c>
      <c r="C65" s="200">
        <f t="shared" ref="C65:H65" si="8">C57-SUM(C58:C64)</f>
        <v>28</v>
      </c>
      <c r="D65" s="200">
        <f t="shared" si="8"/>
        <v>432</v>
      </c>
      <c r="E65" s="200">
        <f t="shared" si="8"/>
        <v>975</v>
      </c>
      <c r="F65" s="200">
        <f t="shared" si="8"/>
        <v>630</v>
      </c>
      <c r="G65" s="200">
        <f t="shared" si="8"/>
        <v>703</v>
      </c>
      <c r="H65" s="200">
        <f t="shared" si="8"/>
        <v>793</v>
      </c>
      <c r="I65" s="201">
        <f t="shared" si="7"/>
        <v>0.12802275960170695</v>
      </c>
      <c r="J65" s="201">
        <f>H65/H53</f>
        <v>0.19904618473895583</v>
      </c>
    </row>
    <row r="66" spans="2:10" x14ac:dyDescent="0.25">
      <c r="B66" s="186" t="s">
        <v>49</v>
      </c>
      <c r="C66" s="207"/>
      <c r="D66" s="207"/>
      <c r="E66" s="207"/>
      <c r="F66" s="207"/>
      <c r="G66" s="207"/>
      <c r="H66" s="207"/>
      <c r="I66" s="208"/>
      <c r="J66" s="208"/>
    </row>
    <row r="67" spans="2:10" x14ac:dyDescent="0.25">
      <c r="B67" s="187" t="s">
        <v>70</v>
      </c>
      <c r="C67" s="209">
        <v>6236</v>
      </c>
      <c r="D67" s="209">
        <v>8360</v>
      </c>
      <c r="E67" s="209">
        <v>10763</v>
      </c>
      <c r="F67" s="209">
        <v>16386</v>
      </c>
      <c r="G67" s="209">
        <v>17100</v>
      </c>
      <c r="H67" s="209">
        <v>13666</v>
      </c>
      <c r="I67" s="210">
        <f t="shared" ref="I67:I79" si="9">IFERROR(H67/G67-1,"-")</f>
        <v>-0.20081871345029245</v>
      </c>
      <c r="J67" s="210">
        <f>H67/H67</f>
        <v>1</v>
      </c>
    </row>
    <row r="68" spans="2:10" x14ac:dyDescent="0.25">
      <c r="B68" s="190" t="s">
        <v>99</v>
      </c>
      <c r="C68" s="191">
        <v>5480</v>
      </c>
      <c r="D68" s="191">
        <v>4392</v>
      </c>
      <c r="E68" s="191">
        <v>1239</v>
      </c>
      <c r="F68" s="191">
        <v>8868</v>
      </c>
      <c r="G68" s="191">
        <v>7018</v>
      </c>
      <c r="H68" s="191">
        <v>3304</v>
      </c>
      <c r="I68" s="192">
        <f t="shared" si="9"/>
        <v>-0.5292106013109148</v>
      </c>
      <c r="J68" s="192">
        <f>H68/H67</f>
        <v>0.24176789111663985</v>
      </c>
    </row>
    <row r="69" spans="2:10" x14ac:dyDescent="0.25">
      <c r="B69" s="194" t="s">
        <v>105</v>
      </c>
      <c r="C69" s="195">
        <v>1984</v>
      </c>
      <c r="D69" s="195">
        <v>3162</v>
      </c>
      <c r="E69" s="195">
        <v>268</v>
      </c>
      <c r="F69" s="195">
        <v>7303</v>
      </c>
      <c r="G69" s="195">
        <v>5017</v>
      </c>
      <c r="H69" s="195">
        <v>1185</v>
      </c>
      <c r="I69" s="196">
        <f t="shared" si="9"/>
        <v>-0.76380306956348409</v>
      </c>
      <c r="J69" s="196">
        <f>H69/H67</f>
        <v>8.6711546904727058E-2</v>
      </c>
    </row>
    <row r="70" spans="2:10" x14ac:dyDescent="0.25">
      <c r="B70" s="194" t="s">
        <v>102</v>
      </c>
      <c r="C70" s="195">
        <v>3496</v>
      </c>
      <c r="D70" s="195">
        <v>1230</v>
      </c>
      <c r="E70" s="195">
        <v>971</v>
      </c>
      <c r="F70" s="195">
        <v>1565</v>
      </c>
      <c r="G70" s="195">
        <v>2001</v>
      </c>
      <c r="H70" s="195">
        <v>2119</v>
      </c>
      <c r="I70" s="196">
        <f t="shared" si="9"/>
        <v>5.897051474262871E-2</v>
      </c>
      <c r="J70" s="196">
        <f>H70/H67</f>
        <v>0.15505634421191278</v>
      </c>
    </row>
    <row r="71" spans="2:10" x14ac:dyDescent="0.25">
      <c r="B71" s="190" t="s">
        <v>109</v>
      </c>
      <c r="C71" s="191">
        <v>756</v>
      </c>
      <c r="D71" s="191">
        <v>3968</v>
      </c>
      <c r="E71" s="191">
        <v>9524</v>
      </c>
      <c r="F71" s="191">
        <v>7518</v>
      </c>
      <c r="G71" s="191">
        <v>10082</v>
      </c>
      <c r="H71" s="191">
        <v>10362</v>
      </c>
      <c r="I71" s="192">
        <f t="shared" si="9"/>
        <v>2.7772267407260465E-2</v>
      </c>
      <c r="J71" s="192">
        <f>H71/H67</f>
        <v>0.75823210888336012</v>
      </c>
    </row>
    <row r="72" spans="2:10" x14ac:dyDescent="0.25">
      <c r="B72" s="194" t="s">
        <v>112</v>
      </c>
      <c r="C72" s="195">
        <v>220</v>
      </c>
      <c r="D72" s="195">
        <v>1726</v>
      </c>
      <c r="E72" s="195">
        <v>3976</v>
      </c>
      <c r="F72" s="195">
        <v>2961</v>
      </c>
      <c r="G72" s="195">
        <v>4768</v>
      </c>
      <c r="H72" s="195">
        <v>5328</v>
      </c>
      <c r="I72" s="196">
        <f t="shared" si="9"/>
        <v>0.1174496644295302</v>
      </c>
      <c r="J72" s="196">
        <f>H72/H67</f>
        <v>0.38987267671593734</v>
      </c>
    </row>
    <row r="73" spans="2:10" x14ac:dyDescent="0.25">
      <c r="B73" s="194" t="s">
        <v>115</v>
      </c>
      <c r="C73" s="195">
        <v>57</v>
      </c>
      <c r="D73" s="195">
        <v>481</v>
      </c>
      <c r="E73" s="195">
        <v>270</v>
      </c>
      <c r="F73" s="195">
        <v>706</v>
      </c>
      <c r="G73" s="195">
        <v>518</v>
      </c>
      <c r="H73" s="195">
        <v>739</v>
      </c>
      <c r="I73" s="196">
        <f t="shared" si="9"/>
        <v>0.42664092664092657</v>
      </c>
      <c r="J73" s="196">
        <f>H73/H67</f>
        <v>5.4075808576028096E-2</v>
      </c>
    </row>
    <row r="74" spans="2:10" x14ac:dyDescent="0.25">
      <c r="B74" s="194" t="s">
        <v>118</v>
      </c>
      <c r="C74" s="195">
        <v>133</v>
      </c>
      <c r="D74" s="195">
        <v>376</v>
      </c>
      <c r="E74" s="195">
        <v>1446</v>
      </c>
      <c r="F74" s="195">
        <v>303</v>
      </c>
      <c r="G74" s="195">
        <v>991</v>
      </c>
      <c r="H74" s="195">
        <v>659</v>
      </c>
      <c r="I74" s="196">
        <f t="shared" si="9"/>
        <v>-0.33501513622603429</v>
      </c>
      <c r="J74" s="196">
        <f>H74/H67</f>
        <v>4.8221864481194206E-2</v>
      </c>
    </row>
    <row r="75" spans="2:10" x14ac:dyDescent="0.25">
      <c r="B75" s="194" t="s">
        <v>125</v>
      </c>
      <c r="C75" s="195">
        <v>8</v>
      </c>
      <c r="D75" s="195">
        <v>393</v>
      </c>
      <c r="E75" s="195">
        <v>172</v>
      </c>
      <c r="F75" s="195">
        <v>292</v>
      </c>
      <c r="G75" s="195">
        <v>484</v>
      </c>
      <c r="H75" s="195">
        <v>728</v>
      </c>
      <c r="I75" s="196">
        <f t="shared" si="9"/>
        <v>0.50413223140495877</v>
      </c>
      <c r="J75" s="196">
        <f>H75/H67</f>
        <v>5.3270891262988437E-2</v>
      </c>
    </row>
    <row r="76" spans="2:10" x14ac:dyDescent="0.25">
      <c r="B76" s="194" t="s">
        <v>121</v>
      </c>
      <c r="C76" s="195">
        <v>139</v>
      </c>
      <c r="D76" s="195">
        <v>103</v>
      </c>
      <c r="E76" s="195">
        <v>393</v>
      </c>
      <c r="F76" s="195">
        <v>48</v>
      </c>
      <c r="G76" s="195">
        <v>267</v>
      </c>
      <c r="H76" s="195">
        <v>180</v>
      </c>
      <c r="I76" s="196">
        <f t="shared" si="9"/>
        <v>-0.3258426966292135</v>
      </c>
      <c r="J76" s="196">
        <f>H76/H67</f>
        <v>1.3171374213376262E-2</v>
      </c>
    </row>
    <row r="77" spans="2:10" x14ac:dyDescent="0.25">
      <c r="B77" s="194" t="s">
        <v>130</v>
      </c>
      <c r="C77" s="195">
        <v>0</v>
      </c>
      <c r="D77" s="195">
        <v>22</v>
      </c>
      <c r="E77" s="195">
        <v>9</v>
      </c>
      <c r="F77" s="195">
        <v>1</v>
      </c>
      <c r="G77" s="195">
        <v>33</v>
      </c>
      <c r="H77" s="195">
        <v>60</v>
      </c>
      <c r="I77" s="196">
        <f t="shared" si="9"/>
        <v>0.81818181818181812</v>
      </c>
      <c r="J77" s="196">
        <f>H77/H67</f>
        <v>4.3904580711254205E-3</v>
      </c>
    </row>
    <row r="78" spans="2:10" x14ac:dyDescent="0.25">
      <c r="B78" s="194" t="s">
        <v>133</v>
      </c>
      <c r="C78" s="195">
        <v>9</v>
      </c>
      <c r="D78" s="195">
        <v>7</v>
      </c>
      <c r="E78" s="195">
        <v>9</v>
      </c>
      <c r="F78" s="195">
        <v>3</v>
      </c>
      <c r="G78" s="195">
        <v>47</v>
      </c>
      <c r="H78" s="195">
        <v>52</v>
      </c>
      <c r="I78" s="196">
        <f t="shared" si="9"/>
        <v>0.1063829787234043</v>
      </c>
      <c r="J78" s="196">
        <f>H78/H67</f>
        <v>3.8050636616420311E-3</v>
      </c>
    </row>
    <row r="79" spans="2:10" x14ac:dyDescent="0.25">
      <c r="B79" s="199" t="s">
        <v>147</v>
      </c>
      <c r="C79" s="200">
        <f t="shared" ref="C79:H79" si="10">C71-SUM(C72:C78)</f>
        <v>190</v>
      </c>
      <c r="D79" s="200">
        <f t="shared" si="10"/>
        <v>860</v>
      </c>
      <c r="E79" s="200">
        <f t="shared" si="10"/>
        <v>3249</v>
      </c>
      <c r="F79" s="200">
        <f t="shared" si="10"/>
        <v>3204</v>
      </c>
      <c r="G79" s="200">
        <f t="shared" si="10"/>
        <v>2974</v>
      </c>
      <c r="H79" s="200">
        <f t="shared" si="10"/>
        <v>2616</v>
      </c>
      <c r="I79" s="201">
        <f t="shared" si="9"/>
        <v>-0.12037659717552118</v>
      </c>
      <c r="J79" s="201">
        <f>H79/H67</f>
        <v>0.19142397190106836</v>
      </c>
    </row>
    <row r="80" spans="2:10" x14ac:dyDescent="0.25">
      <c r="B80" s="186" t="s">
        <v>50</v>
      </c>
      <c r="C80" s="207"/>
      <c r="D80" s="207"/>
      <c r="E80" s="207"/>
      <c r="F80" s="207"/>
      <c r="G80" s="207"/>
      <c r="H80" s="207"/>
      <c r="I80" s="208"/>
      <c r="J80" s="208"/>
    </row>
    <row r="81" spans="2:10" x14ac:dyDescent="0.25">
      <c r="B81" s="187" t="s">
        <v>70</v>
      </c>
      <c r="C81" s="209">
        <v>17561</v>
      </c>
      <c r="D81" s="209">
        <v>48518</v>
      </c>
      <c r="E81" s="209">
        <v>62173</v>
      </c>
      <c r="F81" s="209">
        <v>71851</v>
      </c>
      <c r="G81" s="209">
        <v>77584</v>
      </c>
      <c r="H81" s="209">
        <v>79102</v>
      </c>
      <c r="I81" s="210">
        <f t="shared" ref="I81:I93" si="11">IFERROR(H81/G81-1,"-")</f>
        <v>1.9565889874200826E-2</v>
      </c>
      <c r="J81" s="210">
        <f>H81/H81</f>
        <v>1</v>
      </c>
    </row>
    <row r="82" spans="2:10" x14ac:dyDescent="0.25">
      <c r="B82" s="190" t="s">
        <v>99</v>
      </c>
      <c r="C82" s="191">
        <v>13494</v>
      </c>
      <c r="D82" s="191">
        <v>27292</v>
      </c>
      <c r="E82" s="191">
        <v>32660</v>
      </c>
      <c r="F82" s="191">
        <v>34430</v>
      </c>
      <c r="G82" s="191">
        <v>34597</v>
      </c>
      <c r="H82" s="191">
        <v>38088</v>
      </c>
      <c r="I82" s="192">
        <f t="shared" si="11"/>
        <v>0.10090470271988905</v>
      </c>
      <c r="J82" s="192">
        <f>H82/H81</f>
        <v>0.48150489241738514</v>
      </c>
    </row>
    <row r="83" spans="2:10" x14ac:dyDescent="0.25">
      <c r="B83" s="194" t="s">
        <v>105</v>
      </c>
      <c r="C83" s="195">
        <v>3358</v>
      </c>
      <c r="D83" s="195">
        <v>8529</v>
      </c>
      <c r="E83" s="195">
        <v>8011</v>
      </c>
      <c r="F83" s="195">
        <v>11184</v>
      </c>
      <c r="G83" s="195">
        <v>7971</v>
      </c>
      <c r="H83" s="195">
        <v>10304</v>
      </c>
      <c r="I83" s="196">
        <f t="shared" si="11"/>
        <v>0.29268598670179391</v>
      </c>
      <c r="J83" s="196">
        <f>H83/H81</f>
        <v>0.1302621931177467</v>
      </c>
    </row>
    <row r="84" spans="2:10" x14ac:dyDescent="0.25">
      <c r="B84" s="194" t="s">
        <v>102</v>
      </c>
      <c r="C84" s="195">
        <v>10136</v>
      </c>
      <c r="D84" s="195">
        <v>18763</v>
      </c>
      <c r="E84" s="195">
        <v>24649</v>
      </c>
      <c r="F84" s="195">
        <v>23246</v>
      </c>
      <c r="G84" s="195">
        <v>26626</v>
      </c>
      <c r="H84" s="195">
        <v>27784</v>
      </c>
      <c r="I84" s="196">
        <f t="shared" si="11"/>
        <v>4.3491324269510967E-2</v>
      </c>
      <c r="J84" s="196">
        <f>H84/H81</f>
        <v>0.35124269929963842</v>
      </c>
    </row>
    <row r="85" spans="2:10" x14ac:dyDescent="0.25">
      <c r="B85" s="190" t="s">
        <v>109</v>
      </c>
      <c r="C85" s="191">
        <v>4067</v>
      </c>
      <c r="D85" s="191">
        <v>21226</v>
      </c>
      <c r="E85" s="191">
        <v>29513</v>
      </c>
      <c r="F85" s="191">
        <v>37421</v>
      </c>
      <c r="G85" s="191">
        <v>42987</v>
      </c>
      <c r="H85" s="191">
        <v>41014</v>
      </c>
      <c r="I85" s="192">
        <f t="shared" si="11"/>
        <v>-4.589759694791451E-2</v>
      </c>
      <c r="J85" s="192">
        <f>H85/H81</f>
        <v>0.51849510758261486</v>
      </c>
    </row>
    <row r="86" spans="2:10" x14ac:dyDescent="0.25">
      <c r="B86" s="194" t="s">
        <v>112</v>
      </c>
      <c r="C86" s="195">
        <v>721</v>
      </c>
      <c r="D86" s="195">
        <v>2089</v>
      </c>
      <c r="E86" s="195">
        <v>6158</v>
      </c>
      <c r="F86" s="195">
        <v>9384</v>
      </c>
      <c r="G86" s="195">
        <v>10580</v>
      </c>
      <c r="H86" s="195">
        <v>11025</v>
      </c>
      <c r="I86" s="196">
        <f t="shared" si="11"/>
        <v>4.2060491493383756E-2</v>
      </c>
      <c r="J86" s="196">
        <f>H86/H81</f>
        <v>0.13937700690248034</v>
      </c>
    </row>
    <row r="87" spans="2:10" x14ac:dyDescent="0.25">
      <c r="B87" s="194" t="s">
        <v>115</v>
      </c>
      <c r="C87" s="195">
        <v>355</v>
      </c>
      <c r="D87" s="195">
        <v>6864</v>
      </c>
      <c r="E87" s="195">
        <v>9313</v>
      </c>
      <c r="F87" s="195">
        <v>9338</v>
      </c>
      <c r="G87" s="195">
        <v>10044</v>
      </c>
      <c r="H87" s="195">
        <v>9422</v>
      </c>
      <c r="I87" s="196">
        <f t="shared" si="11"/>
        <v>-6.1927518916766178E-2</v>
      </c>
      <c r="J87" s="196">
        <f>H87/H81</f>
        <v>0.11911203256554828</v>
      </c>
    </row>
    <row r="88" spans="2:10" x14ac:dyDescent="0.25">
      <c r="B88" s="194" t="s">
        <v>118</v>
      </c>
      <c r="C88" s="195">
        <v>234</v>
      </c>
      <c r="D88" s="195">
        <v>2090</v>
      </c>
      <c r="E88" s="195">
        <v>2484</v>
      </c>
      <c r="F88" s="195">
        <v>3816</v>
      </c>
      <c r="G88" s="195">
        <v>4449</v>
      </c>
      <c r="H88" s="195">
        <v>4039</v>
      </c>
      <c r="I88" s="196">
        <f t="shared" si="11"/>
        <v>-9.2155540570914796E-2</v>
      </c>
      <c r="J88" s="196">
        <f>H88/H81</f>
        <v>5.1060655862051531E-2</v>
      </c>
    </row>
    <row r="89" spans="2:10" x14ac:dyDescent="0.25">
      <c r="B89" s="194" t="s">
        <v>125</v>
      </c>
      <c r="C89" s="195">
        <v>57</v>
      </c>
      <c r="D89" s="195">
        <v>661</v>
      </c>
      <c r="E89" s="195">
        <v>829</v>
      </c>
      <c r="F89" s="195">
        <v>1287</v>
      </c>
      <c r="G89" s="195">
        <v>1667</v>
      </c>
      <c r="H89" s="195">
        <v>1262</v>
      </c>
      <c r="I89" s="196">
        <f t="shared" si="11"/>
        <v>-0.2429514097180564</v>
      </c>
      <c r="J89" s="196">
        <f>H89/H81</f>
        <v>1.5954084599630856E-2</v>
      </c>
    </row>
    <row r="90" spans="2:10" x14ac:dyDescent="0.25">
      <c r="B90" s="194" t="s">
        <v>121</v>
      </c>
      <c r="C90" s="195">
        <v>446</v>
      </c>
      <c r="D90" s="195">
        <v>807</v>
      </c>
      <c r="E90" s="195">
        <v>477</v>
      </c>
      <c r="F90" s="195">
        <v>664</v>
      </c>
      <c r="G90" s="195">
        <v>820</v>
      </c>
      <c r="H90" s="195">
        <v>903</v>
      </c>
      <c r="I90" s="196">
        <f t="shared" si="11"/>
        <v>0.10121951219512204</v>
      </c>
      <c r="J90" s="196">
        <f>H90/H81</f>
        <v>1.1415640565346009E-2</v>
      </c>
    </row>
    <row r="91" spans="2:10" x14ac:dyDescent="0.25">
      <c r="B91" s="194" t="s">
        <v>130</v>
      </c>
      <c r="C91" s="195">
        <v>20</v>
      </c>
      <c r="D91" s="195">
        <v>111</v>
      </c>
      <c r="E91" s="195">
        <v>238</v>
      </c>
      <c r="F91" s="195">
        <v>125</v>
      </c>
      <c r="G91" s="195">
        <v>164</v>
      </c>
      <c r="H91" s="195">
        <v>260</v>
      </c>
      <c r="I91" s="196">
        <f t="shared" si="11"/>
        <v>0.58536585365853666</v>
      </c>
      <c r="J91" s="196">
        <f>H91/H81</f>
        <v>3.2868954008748201E-3</v>
      </c>
    </row>
    <row r="92" spans="2:10" x14ac:dyDescent="0.25">
      <c r="B92" s="194" t="s">
        <v>133</v>
      </c>
      <c r="C92" s="195">
        <v>24</v>
      </c>
      <c r="D92" s="195">
        <v>82</v>
      </c>
      <c r="E92" s="195">
        <v>170</v>
      </c>
      <c r="F92" s="195">
        <v>101</v>
      </c>
      <c r="G92" s="195">
        <v>169</v>
      </c>
      <c r="H92" s="195">
        <v>77</v>
      </c>
      <c r="I92" s="196">
        <f t="shared" si="11"/>
        <v>-0.54437869822485208</v>
      </c>
      <c r="J92" s="196">
        <f>H92/H81</f>
        <v>9.7342671487446583E-4</v>
      </c>
    </row>
    <row r="93" spans="2:10" x14ac:dyDescent="0.25">
      <c r="B93" s="199" t="s">
        <v>147</v>
      </c>
      <c r="C93" s="200">
        <f t="shared" ref="C93:H93" si="12">C85-SUM(C86:C92)</f>
        <v>2210</v>
      </c>
      <c r="D93" s="200">
        <f t="shared" si="12"/>
        <v>8522</v>
      </c>
      <c r="E93" s="200">
        <f t="shared" si="12"/>
        <v>9844</v>
      </c>
      <c r="F93" s="200">
        <f t="shared" si="12"/>
        <v>12706</v>
      </c>
      <c r="G93" s="200">
        <f t="shared" si="12"/>
        <v>15094</v>
      </c>
      <c r="H93" s="200">
        <f t="shared" si="12"/>
        <v>14026</v>
      </c>
      <c r="I93" s="201">
        <f t="shared" si="11"/>
        <v>-7.0756592023320519E-2</v>
      </c>
      <c r="J93" s="201">
        <f>H93/H81</f>
        <v>0.17731536497180855</v>
      </c>
    </row>
    <row r="94" spans="2:10" x14ac:dyDescent="0.25">
      <c r="B94" s="186" t="s">
        <v>51</v>
      </c>
      <c r="C94" s="207"/>
      <c r="D94" s="207"/>
      <c r="E94" s="207"/>
      <c r="F94" s="207"/>
      <c r="G94" s="207"/>
      <c r="H94" s="207"/>
      <c r="I94" s="208"/>
      <c r="J94" s="208"/>
    </row>
    <row r="95" spans="2:10" x14ac:dyDescent="0.25">
      <c r="B95" s="187" t="s">
        <v>70</v>
      </c>
      <c r="C95" s="209">
        <v>1764</v>
      </c>
      <c r="D95" s="209">
        <v>3914</v>
      </c>
      <c r="E95" s="209">
        <v>4578</v>
      </c>
      <c r="F95" s="209">
        <v>4521</v>
      </c>
      <c r="G95" s="209">
        <v>5087</v>
      </c>
      <c r="H95" s="209">
        <v>4387</v>
      </c>
      <c r="I95" s="210">
        <f t="shared" ref="I95:I107" si="13">IFERROR(H95/G95-1,"-")</f>
        <v>-0.13760566149007269</v>
      </c>
      <c r="J95" s="210">
        <f>H95/H95</f>
        <v>1</v>
      </c>
    </row>
    <row r="96" spans="2:10" x14ac:dyDescent="0.25">
      <c r="B96" s="190" t="s">
        <v>99</v>
      </c>
      <c r="C96" s="191">
        <v>1442</v>
      </c>
      <c r="D96" s="191">
        <v>3104</v>
      </c>
      <c r="E96" s="191">
        <v>3509</v>
      </c>
      <c r="F96" s="191">
        <v>3382</v>
      </c>
      <c r="G96" s="191">
        <v>4092</v>
      </c>
      <c r="H96" s="191">
        <v>3227</v>
      </c>
      <c r="I96" s="192">
        <f t="shared" si="13"/>
        <v>-0.21138807429130013</v>
      </c>
      <c r="J96" s="192">
        <f>H96/H95</f>
        <v>0.73558240255299745</v>
      </c>
    </row>
    <row r="97" spans="2:10" x14ac:dyDescent="0.25">
      <c r="B97" s="194" t="s">
        <v>105</v>
      </c>
      <c r="C97" s="195">
        <v>679</v>
      </c>
      <c r="D97" s="195">
        <v>1500</v>
      </c>
      <c r="E97" s="195">
        <v>1677</v>
      </c>
      <c r="F97" s="195">
        <v>932</v>
      </c>
      <c r="G97" s="195">
        <v>1746</v>
      </c>
      <c r="H97" s="195">
        <v>1071</v>
      </c>
      <c r="I97" s="196">
        <f t="shared" si="13"/>
        <v>-0.38659793814432986</v>
      </c>
      <c r="J97" s="196">
        <f>H97/H95</f>
        <v>0.24413038522908592</v>
      </c>
    </row>
    <row r="98" spans="2:10" x14ac:dyDescent="0.25">
      <c r="B98" s="194" t="s">
        <v>102</v>
      </c>
      <c r="C98" s="195">
        <v>763</v>
      </c>
      <c r="D98" s="195">
        <v>1604</v>
      </c>
      <c r="E98" s="195">
        <v>1832</v>
      </c>
      <c r="F98" s="195">
        <v>2450</v>
      </c>
      <c r="G98" s="195">
        <v>2346</v>
      </c>
      <c r="H98" s="195">
        <v>2156</v>
      </c>
      <c r="I98" s="196">
        <f t="shared" si="13"/>
        <v>-8.0988917306052843E-2</v>
      </c>
      <c r="J98" s="196">
        <f>H98/H95</f>
        <v>0.49145201732391158</v>
      </c>
    </row>
    <row r="99" spans="2:10" x14ac:dyDescent="0.25">
      <c r="B99" s="190" t="s">
        <v>109</v>
      </c>
      <c r="C99" s="191">
        <v>322</v>
      </c>
      <c r="D99" s="191">
        <v>810</v>
      </c>
      <c r="E99" s="191">
        <v>1069</v>
      </c>
      <c r="F99" s="191">
        <v>1139</v>
      </c>
      <c r="G99" s="191">
        <v>995</v>
      </c>
      <c r="H99" s="191">
        <v>1160</v>
      </c>
      <c r="I99" s="192">
        <f t="shared" si="13"/>
        <v>0.16582914572864316</v>
      </c>
      <c r="J99" s="192">
        <f>H99/H95</f>
        <v>0.26441759744700249</v>
      </c>
    </row>
    <row r="100" spans="2:10" x14ac:dyDescent="0.25">
      <c r="B100" s="194" t="s">
        <v>112</v>
      </c>
      <c r="C100" s="195">
        <v>24</v>
      </c>
      <c r="D100" s="195">
        <v>73</v>
      </c>
      <c r="E100" s="195">
        <v>163</v>
      </c>
      <c r="F100" s="195">
        <v>144</v>
      </c>
      <c r="G100" s="195">
        <v>123</v>
      </c>
      <c r="H100" s="195">
        <v>111</v>
      </c>
      <c r="I100" s="196">
        <f t="shared" si="13"/>
        <v>-9.7560975609756073E-2</v>
      </c>
      <c r="J100" s="196">
        <f>H100/H95</f>
        <v>2.5302028721221791E-2</v>
      </c>
    </row>
    <row r="101" spans="2:10" x14ac:dyDescent="0.25">
      <c r="B101" s="194" t="s">
        <v>115</v>
      </c>
      <c r="C101" s="195">
        <v>42</v>
      </c>
      <c r="D101" s="195">
        <v>194</v>
      </c>
      <c r="E101" s="195">
        <v>224</v>
      </c>
      <c r="F101" s="195">
        <v>222</v>
      </c>
      <c r="G101" s="195">
        <v>224</v>
      </c>
      <c r="H101" s="195">
        <v>207</v>
      </c>
      <c r="I101" s="196">
        <f t="shared" si="13"/>
        <v>-7.5892857142857095E-2</v>
      </c>
      <c r="J101" s="196">
        <f>H101/H95</f>
        <v>4.7184864372008209E-2</v>
      </c>
    </row>
    <row r="102" spans="2:10" x14ac:dyDescent="0.25">
      <c r="B102" s="194" t="s">
        <v>118</v>
      </c>
      <c r="C102" s="195">
        <v>48</v>
      </c>
      <c r="D102" s="195">
        <v>180</v>
      </c>
      <c r="E102" s="195">
        <v>154</v>
      </c>
      <c r="F102" s="195">
        <v>208</v>
      </c>
      <c r="G102" s="195">
        <v>152</v>
      </c>
      <c r="H102" s="195">
        <v>204</v>
      </c>
      <c r="I102" s="196">
        <f t="shared" si="13"/>
        <v>0.34210526315789469</v>
      </c>
      <c r="J102" s="196">
        <f>H102/H95</f>
        <v>4.650102575792113E-2</v>
      </c>
    </row>
    <row r="103" spans="2:10" x14ac:dyDescent="0.25">
      <c r="B103" s="194" t="s">
        <v>125</v>
      </c>
      <c r="C103" s="195">
        <v>6</v>
      </c>
      <c r="D103" s="195">
        <v>39</v>
      </c>
      <c r="E103" s="195">
        <v>66</v>
      </c>
      <c r="F103" s="195">
        <v>31</v>
      </c>
      <c r="G103" s="195">
        <v>31</v>
      </c>
      <c r="H103" s="195">
        <v>22</v>
      </c>
      <c r="I103" s="196">
        <f t="shared" si="13"/>
        <v>-0.29032258064516125</v>
      </c>
      <c r="J103" s="196">
        <f>H103/H95</f>
        <v>5.0148165033052196E-3</v>
      </c>
    </row>
    <row r="104" spans="2:10" x14ac:dyDescent="0.25">
      <c r="B104" s="194" t="s">
        <v>121</v>
      </c>
      <c r="C104" s="195">
        <v>40</v>
      </c>
      <c r="D104" s="195">
        <v>36</v>
      </c>
      <c r="E104" s="195">
        <v>30</v>
      </c>
      <c r="F104" s="195">
        <v>41</v>
      </c>
      <c r="G104" s="195">
        <v>41</v>
      </c>
      <c r="H104" s="195">
        <v>44</v>
      </c>
      <c r="I104" s="196">
        <f t="shared" si="13"/>
        <v>7.3170731707317138E-2</v>
      </c>
      <c r="J104" s="196">
        <f>H104/H95</f>
        <v>1.0029633006610439E-2</v>
      </c>
    </row>
    <row r="105" spans="2:10" x14ac:dyDescent="0.25">
      <c r="B105" s="194" t="s">
        <v>130</v>
      </c>
      <c r="C105" s="195">
        <v>1</v>
      </c>
      <c r="D105" s="195">
        <v>1</v>
      </c>
      <c r="E105" s="195">
        <v>5</v>
      </c>
      <c r="F105" s="195">
        <v>4</v>
      </c>
      <c r="G105" s="195">
        <v>13</v>
      </c>
      <c r="H105" s="195">
        <v>2</v>
      </c>
      <c r="I105" s="196">
        <f t="shared" si="13"/>
        <v>-0.84615384615384615</v>
      </c>
      <c r="J105" s="196">
        <f>H105/H95</f>
        <v>4.5589240939138365E-4</v>
      </c>
    </row>
    <row r="106" spans="2:10" x14ac:dyDescent="0.25">
      <c r="B106" s="194" t="s">
        <v>133</v>
      </c>
      <c r="C106" s="195">
        <v>2</v>
      </c>
      <c r="D106" s="195">
        <v>10</v>
      </c>
      <c r="E106" s="195">
        <v>6</v>
      </c>
      <c r="F106" s="195">
        <v>12</v>
      </c>
      <c r="G106" s="195">
        <v>10</v>
      </c>
      <c r="H106" s="195">
        <v>6</v>
      </c>
      <c r="I106" s="196">
        <f t="shared" si="13"/>
        <v>-0.4</v>
      </c>
      <c r="J106" s="196">
        <f>H106/H95</f>
        <v>1.3676772281741509E-3</v>
      </c>
    </row>
    <row r="107" spans="2:10" x14ac:dyDescent="0.25">
      <c r="B107" s="199" t="s">
        <v>147</v>
      </c>
      <c r="C107" s="200">
        <f t="shared" ref="C107:H107" si="14">C99-SUM(C100:C106)</f>
        <v>159</v>
      </c>
      <c r="D107" s="200">
        <f t="shared" si="14"/>
        <v>277</v>
      </c>
      <c r="E107" s="200">
        <f t="shared" si="14"/>
        <v>421</v>
      </c>
      <c r="F107" s="200">
        <f t="shared" si="14"/>
        <v>477</v>
      </c>
      <c r="G107" s="200">
        <f t="shared" si="14"/>
        <v>401</v>
      </c>
      <c r="H107" s="200">
        <f t="shared" si="14"/>
        <v>564</v>
      </c>
      <c r="I107" s="201">
        <f t="shared" si="13"/>
        <v>0.40648379052369088</v>
      </c>
      <c r="J107" s="201">
        <f>H107/H95</f>
        <v>0.1285616594483702</v>
      </c>
    </row>
    <row r="108" spans="2:10" x14ac:dyDescent="0.25">
      <c r="B108" s="186" t="s">
        <v>52</v>
      </c>
      <c r="C108" s="207"/>
      <c r="D108" s="207"/>
      <c r="E108" s="207"/>
      <c r="F108" s="207"/>
      <c r="G108" s="207"/>
      <c r="H108" s="207"/>
      <c r="I108" s="208"/>
      <c r="J108" s="208"/>
    </row>
    <row r="109" spans="2:10" x14ac:dyDescent="0.25">
      <c r="B109" s="187" t="s">
        <v>70</v>
      </c>
      <c r="C109" s="209">
        <v>11710</v>
      </c>
      <c r="D109" s="209">
        <v>13048</v>
      </c>
      <c r="E109" s="209">
        <v>17425</v>
      </c>
      <c r="F109" s="209">
        <v>18863</v>
      </c>
      <c r="G109" s="209">
        <v>20469</v>
      </c>
      <c r="H109" s="209">
        <v>18177</v>
      </c>
      <c r="I109" s="210">
        <f t="shared" ref="I109:I121" si="15">IFERROR(H109/G109-1,"-")</f>
        <v>-0.11197420489520737</v>
      </c>
      <c r="J109" s="210">
        <f>H109/H109</f>
        <v>1</v>
      </c>
    </row>
    <row r="110" spans="2:10" x14ac:dyDescent="0.25">
      <c r="B110" s="190" t="s">
        <v>99</v>
      </c>
      <c r="C110" s="191">
        <v>8538</v>
      </c>
      <c r="D110" s="191">
        <v>5963</v>
      </c>
      <c r="E110" s="191">
        <v>5843</v>
      </c>
      <c r="F110" s="191">
        <v>5114</v>
      </c>
      <c r="G110" s="191">
        <v>5525</v>
      </c>
      <c r="H110" s="191">
        <v>5001</v>
      </c>
      <c r="I110" s="192">
        <f t="shared" si="15"/>
        <v>-9.4841628959276059E-2</v>
      </c>
      <c r="J110" s="192">
        <f>H110/H109</f>
        <v>0.27512790889585742</v>
      </c>
    </row>
    <row r="111" spans="2:10" x14ac:dyDescent="0.25">
      <c r="B111" s="194" t="s">
        <v>105</v>
      </c>
      <c r="C111" s="195">
        <v>298</v>
      </c>
      <c r="D111" s="195">
        <v>3200</v>
      </c>
      <c r="E111" s="195">
        <v>1911</v>
      </c>
      <c r="F111" s="195">
        <v>1510</v>
      </c>
      <c r="G111" s="195">
        <v>1981</v>
      </c>
      <c r="H111" s="195">
        <v>2092</v>
      </c>
      <c r="I111" s="196">
        <f t="shared" si="15"/>
        <v>5.6032306915699159E-2</v>
      </c>
      <c r="J111" s="196">
        <f>H111/H109</f>
        <v>0.1150904989822303</v>
      </c>
    </row>
    <row r="112" spans="2:10" x14ac:dyDescent="0.25">
      <c r="B112" s="194" t="s">
        <v>102</v>
      </c>
      <c r="C112" s="195">
        <v>8240</v>
      </c>
      <c r="D112" s="195">
        <v>2763</v>
      </c>
      <c r="E112" s="195">
        <v>3932</v>
      </c>
      <c r="F112" s="195">
        <v>3604</v>
      </c>
      <c r="G112" s="195">
        <v>3544</v>
      </c>
      <c r="H112" s="195">
        <v>2909</v>
      </c>
      <c r="I112" s="196">
        <f t="shared" si="15"/>
        <v>-0.17917607223476295</v>
      </c>
      <c r="J112" s="196">
        <f>H112/H109</f>
        <v>0.16003740991362711</v>
      </c>
    </row>
    <row r="113" spans="2:10" x14ac:dyDescent="0.25">
      <c r="B113" s="190" t="s">
        <v>109</v>
      </c>
      <c r="C113" s="191">
        <v>3172</v>
      </c>
      <c r="D113" s="191">
        <v>7085</v>
      </c>
      <c r="E113" s="191">
        <v>11582</v>
      </c>
      <c r="F113" s="191">
        <v>13749</v>
      </c>
      <c r="G113" s="191">
        <v>14944</v>
      </c>
      <c r="H113" s="191">
        <v>13176</v>
      </c>
      <c r="I113" s="192">
        <f t="shared" si="15"/>
        <v>-0.1183083511777302</v>
      </c>
      <c r="J113" s="192">
        <f>H113/H109</f>
        <v>0.72487209110414264</v>
      </c>
    </row>
    <row r="114" spans="2:10" x14ac:dyDescent="0.25">
      <c r="B114" s="194" t="s">
        <v>112</v>
      </c>
      <c r="C114" s="195">
        <v>827</v>
      </c>
      <c r="D114" s="195">
        <v>3529</v>
      </c>
      <c r="E114" s="195">
        <v>7683</v>
      </c>
      <c r="F114" s="195">
        <v>9672</v>
      </c>
      <c r="G114" s="195">
        <v>9883</v>
      </c>
      <c r="H114" s="195">
        <v>8592</v>
      </c>
      <c r="I114" s="196">
        <f t="shared" si="15"/>
        <v>-0.13062835171506626</v>
      </c>
      <c r="J114" s="196">
        <f>H114/H109</f>
        <v>0.4726852615943225</v>
      </c>
    </row>
    <row r="115" spans="2:10" x14ac:dyDescent="0.25">
      <c r="B115" s="194" t="s">
        <v>115</v>
      </c>
      <c r="C115" s="195">
        <v>116</v>
      </c>
      <c r="D115" s="195">
        <v>522</v>
      </c>
      <c r="E115" s="195">
        <v>409</v>
      </c>
      <c r="F115" s="195">
        <v>570</v>
      </c>
      <c r="G115" s="195">
        <v>486</v>
      </c>
      <c r="H115" s="195">
        <v>595</v>
      </c>
      <c r="I115" s="196">
        <f t="shared" si="15"/>
        <v>0.22427983539094654</v>
      </c>
      <c r="J115" s="196">
        <f>H115/H109</f>
        <v>3.2733674423722284E-2</v>
      </c>
    </row>
    <row r="116" spans="2:10" x14ac:dyDescent="0.25">
      <c r="B116" s="194" t="s">
        <v>118</v>
      </c>
      <c r="C116" s="195">
        <v>243</v>
      </c>
      <c r="D116" s="195">
        <v>615</v>
      </c>
      <c r="E116" s="195">
        <v>904</v>
      </c>
      <c r="F116" s="195">
        <v>596</v>
      </c>
      <c r="G116" s="195">
        <v>1285</v>
      </c>
      <c r="H116" s="195">
        <v>1156</v>
      </c>
      <c r="I116" s="196">
        <f t="shared" si="15"/>
        <v>-0.10038910505836574</v>
      </c>
      <c r="J116" s="196">
        <f>H116/H109</f>
        <v>6.3596853166089012E-2</v>
      </c>
    </row>
    <row r="117" spans="2:10" x14ac:dyDescent="0.25">
      <c r="B117" s="194" t="s">
        <v>125</v>
      </c>
      <c r="C117" s="195">
        <v>22</v>
      </c>
      <c r="D117" s="195">
        <v>494</v>
      </c>
      <c r="E117" s="195">
        <v>392</v>
      </c>
      <c r="F117" s="195">
        <v>394</v>
      </c>
      <c r="G117" s="195">
        <v>386</v>
      </c>
      <c r="H117" s="195">
        <v>458</v>
      </c>
      <c r="I117" s="196">
        <f t="shared" si="15"/>
        <v>0.18652849740932642</v>
      </c>
      <c r="J117" s="196">
        <f>H117/H109</f>
        <v>2.5196677119436652E-2</v>
      </c>
    </row>
    <row r="118" spans="2:10" x14ac:dyDescent="0.25">
      <c r="B118" s="194" t="s">
        <v>121</v>
      </c>
      <c r="C118" s="195">
        <v>1202</v>
      </c>
      <c r="D118" s="195">
        <v>618</v>
      </c>
      <c r="E118" s="195">
        <v>425</v>
      </c>
      <c r="F118" s="195">
        <v>370</v>
      </c>
      <c r="G118" s="195">
        <v>360</v>
      </c>
      <c r="H118" s="195">
        <v>264</v>
      </c>
      <c r="I118" s="196">
        <f t="shared" si="15"/>
        <v>-0.26666666666666672</v>
      </c>
      <c r="J118" s="196">
        <f>H118/H109</f>
        <v>1.4523848819937284E-2</v>
      </c>
    </row>
    <row r="119" spans="2:10" x14ac:dyDescent="0.25">
      <c r="B119" s="194" t="s">
        <v>130</v>
      </c>
      <c r="C119" s="195">
        <v>14</v>
      </c>
      <c r="D119" s="195">
        <v>10</v>
      </c>
      <c r="E119" s="195">
        <v>16</v>
      </c>
      <c r="F119" s="195">
        <v>43</v>
      </c>
      <c r="G119" s="195">
        <v>13</v>
      </c>
      <c r="H119" s="195">
        <v>15</v>
      </c>
      <c r="I119" s="196">
        <f t="shared" si="15"/>
        <v>0.15384615384615374</v>
      </c>
      <c r="J119" s="196">
        <f>H119/H109</f>
        <v>8.2521868295098197E-4</v>
      </c>
    </row>
    <row r="120" spans="2:10" x14ac:dyDescent="0.25">
      <c r="B120" s="194" t="s">
        <v>133</v>
      </c>
      <c r="C120" s="195">
        <v>8</v>
      </c>
      <c r="D120" s="195">
        <v>13</v>
      </c>
      <c r="E120" s="195">
        <v>7</v>
      </c>
      <c r="F120" s="195">
        <v>18</v>
      </c>
      <c r="G120" s="195">
        <v>4</v>
      </c>
      <c r="H120" s="195">
        <v>16</v>
      </c>
      <c r="I120" s="196">
        <f t="shared" si="15"/>
        <v>3</v>
      </c>
      <c r="J120" s="196">
        <f>H120/H109</f>
        <v>8.8023326181438084E-4</v>
      </c>
    </row>
    <row r="121" spans="2:10" x14ac:dyDescent="0.25">
      <c r="B121" s="199" t="s">
        <v>147</v>
      </c>
      <c r="C121" s="200">
        <f t="shared" ref="C121:H121" si="16">C113-SUM(C114:C120)</f>
        <v>740</v>
      </c>
      <c r="D121" s="200">
        <f t="shared" si="16"/>
        <v>1284</v>
      </c>
      <c r="E121" s="200">
        <f t="shared" si="16"/>
        <v>1746</v>
      </c>
      <c r="F121" s="200">
        <f t="shared" si="16"/>
        <v>2086</v>
      </c>
      <c r="G121" s="200">
        <f t="shared" si="16"/>
        <v>2527</v>
      </c>
      <c r="H121" s="200">
        <f t="shared" si="16"/>
        <v>2080</v>
      </c>
      <c r="I121" s="201">
        <f t="shared" si="15"/>
        <v>-0.17688959240205782</v>
      </c>
      <c r="J121" s="201">
        <f>H121/H109</f>
        <v>0.1144303240358695</v>
      </c>
    </row>
    <row r="122" spans="2:10" x14ac:dyDescent="0.25">
      <c r="B122" s="186" t="s">
        <v>53</v>
      </c>
      <c r="C122" s="207"/>
      <c r="D122" s="207"/>
      <c r="E122" s="207"/>
      <c r="F122" s="207"/>
      <c r="G122" s="207"/>
      <c r="H122" s="207"/>
      <c r="I122" s="208"/>
      <c r="J122" s="208"/>
    </row>
    <row r="123" spans="2:10" x14ac:dyDescent="0.25">
      <c r="B123" s="187" t="s">
        <v>70</v>
      </c>
      <c r="C123" s="209">
        <v>7423</v>
      </c>
      <c r="D123" s="209">
        <v>16473</v>
      </c>
      <c r="E123" s="209">
        <v>19959</v>
      </c>
      <c r="F123" s="209">
        <v>15933</v>
      </c>
      <c r="G123" s="209">
        <v>19577</v>
      </c>
      <c r="H123" s="209">
        <v>21810</v>
      </c>
      <c r="I123" s="210">
        <f t="shared" ref="I123:I135" si="17">IFERROR(H123/G123-1,"-")</f>
        <v>0.11406242018695401</v>
      </c>
      <c r="J123" s="210">
        <f>H123/H123</f>
        <v>1</v>
      </c>
    </row>
    <row r="124" spans="2:10" x14ac:dyDescent="0.25">
      <c r="B124" s="190" t="s">
        <v>99</v>
      </c>
      <c r="C124" s="191">
        <v>5198</v>
      </c>
      <c r="D124" s="191">
        <v>11073</v>
      </c>
      <c r="E124" s="191">
        <v>12859</v>
      </c>
      <c r="F124" s="191">
        <v>11310</v>
      </c>
      <c r="G124" s="191">
        <v>14314</v>
      </c>
      <c r="H124" s="191">
        <v>15733</v>
      </c>
      <c r="I124" s="192">
        <f t="shared" si="17"/>
        <v>9.91337152438172E-2</v>
      </c>
      <c r="J124" s="192">
        <f>H124/H123</f>
        <v>0.72136634571297575</v>
      </c>
    </row>
    <row r="125" spans="2:10" x14ac:dyDescent="0.25">
      <c r="B125" s="194" t="s">
        <v>105</v>
      </c>
      <c r="C125" s="195">
        <v>1770</v>
      </c>
      <c r="D125" s="195">
        <v>5330</v>
      </c>
      <c r="E125" s="195">
        <v>6683</v>
      </c>
      <c r="F125" s="195">
        <v>4833</v>
      </c>
      <c r="G125" s="195">
        <v>8109</v>
      </c>
      <c r="H125" s="195">
        <v>8271</v>
      </c>
      <c r="I125" s="196">
        <f t="shared" si="17"/>
        <v>1.9977802441731418E-2</v>
      </c>
      <c r="J125" s="196">
        <f>H125/H123</f>
        <v>0.37922971114167814</v>
      </c>
    </row>
    <row r="126" spans="2:10" x14ac:dyDescent="0.25">
      <c r="B126" s="194" t="s">
        <v>102</v>
      </c>
      <c r="C126" s="195">
        <v>3428</v>
      </c>
      <c r="D126" s="195">
        <v>5743</v>
      </c>
      <c r="E126" s="195">
        <v>6176</v>
      </c>
      <c r="F126" s="195">
        <v>6477</v>
      </c>
      <c r="G126" s="195">
        <v>6205</v>
      </c>
      <c r="H126" s="195">
        <v>7462</v>
      </c>
      <c r="I126" s="196">
        <f t="shared" si="17"/>
        <v>0.20257856567284449</v>
      </c>
      <c r="J126" s="196">
        <f>H126/H123</f>
        <v>0.34213663457129756</v>
      </c>
    </row>
    <row r="127" spans="2:10" x14ac:dyDescent="0.25">
      <c r="B127" s="190" t="s">
        <v>109</v>
      </c>
      <c r="C127" s="191">
        <v>2225</v>
      </c>
      <c r="D127" s="191">
        <v>5400</v>
      </c>
      <c r="E127" s="191">
        <v>7100</v>
      </c>
      <c r="F127" s="191">
        <v>4623</v>
      </c>
      <c r="G127" s="191">
        <v>5263</v>
      </c>
      <c r="H127" s="191">
        <v>6077</v>
      </c>
      <c r="I127" s="192">
        <f t="shared" si="17"/>
        <v>0.15466463993919821</v>
      </c>
      <c r="J127" s="192">
        <f>H127/H123</f>
        <v>0.2786336542870243</v>
      </c>
    </row>
    <row r="128" spans="2:10" x14ac:dyDescent="0.25">
      <c r="B128" s="194" t="s">
        <v>112</v>
      </c>
      <c r="C128" s="195">
        <v>105</v>
      </c>
      <c r="D128" s="195">
        <v>297</v>
      </c>
      <c r="E128" s="195">
        <v>1068</v>
      </c>
      <c r="F128" s="195">
        <v>508</v>
      </c>
      <c r="G128" s="195">
        <v>623</v>
      </c>
      <c r="H128" s="195">
        <v>596</v>
      </c>
      <c r="I128" s="196">
        <f t="shared" si="17"/>
        <v>-4.3338683788122001E-2</v>
      </c>
      <c r="J128" s="196">
        <f>H128/H123</f>
        <v>2.7326914259513984E-2</v>
      </c>
    </row>
    <row r="129" spans="2:10" x14ac:dyDescent="0.25">
      <c r="B129" s="194" t="s">
        <v>115</v>
      </c>
      <c r="C129" s="195">
        <v>122</v>
      </c>
      <c r="D129" s="195">
        <v>487</v>
      </c>
      <c r="E129" s="195">
        <v>710</v>
      </c>
      <c r="F129" s="195">
        <v>556</v>
      </c>
      <c r="G129" s="195">
        <v>520</v>
      </c>
      <c r="H129" s="195">
        <v>664</v>
      </c>
      <c r="I129" s="196">
        <f t="shared" si="17"/>
        <v>0.27692307692307683</v>
      </c>
      <c r="J129" s="196">
        <f>H129/H123</f>
        <v>3.0444750114626318E-2</v>
      </c>
    </row>
    <row r="130" spans="2:10" x14ac:dyDescent="0.25">
      <c r="B130" s="194" t="s">
        <v>118</v>
      </c>
      <c r="C130" s="195">
        <v>103</v>
      </c>
      <c r="D130" s="195">
        <v>553</v>
      </c>
      <c r="E130" s="195">
        <v>557</v>
      </c>
      <c r="F130" s="195">
        <v>548</v>
      </c>
      <c r="G130" s="195">
        <v>597</v>
      </c>
      <c r="H130" s="195">
        <v>719</v>
      </c>
      <c r="I130" s="196">
        <f t="shared" si="17"/>
        <v>0.20435510887772201</v>
      </c>
      <c r="J130" s="196">
        <f>H130/H123</f>
        <v>3.2966529115084825E-2</v>
      </c>
    </row>
    <row r="131" spans="2:10" x14ac:dyDescent="0.25">
      <c r="B131" s="194" t="s">
        <v>125</v>
      </c>
      <c r="C131" s="195">
        <v>19</v>
      </c>
      <c r="D131" s="195">
        <v>122</v>
      </c>
      <c r="E131" s="195">
        <v>209</v>
      </c>
      <c r="F131" s="195">
        <v>146</v>
      </c>
      <c r="G131" s="195">
        <v>101</v>
      </c>
      <c r="H131" s="195">
        <v>263</v>
      </c>
      <c r="I131" s="196">
        <f t="shared" si="17"/>
        <v>1.6039603960396041</v>
      </c>
      <c r="J131" s="196">
        <f>H131/H123</f>
        <v>1.2058688674919762E-2</v>
      </c>
    </row>
    <row r="132" spans="2:10" x14ac:dyDescent="0.25">
      <c r="B132" s="194" t="s">
        <v>121</v>
      </c>
      <c r="C132" s="195">
        <v>74</v>
      </c>
      <c r="D132" s="195">
        <v>87</v>
      </c>
      <c r="E132" s="195">
        <v>97</v>
      </c>
      <c r="F132" s="195">
        <v>102</v>
      </c>
      <c r="G132" s="195">
        <v>143</v>
      </c>
      <c r="H132" s="195">
        <v>145</v>
      </c>
      <c r="I132" s="196">
        <f t="shared" si="17"/>
        <v>1.3986013986013957E-2</v>
      </c>
      <c r="J132" s="196">
        <f>H132/H123</f>
        <v>6.6483264557542412E-3</v>
      </c>
    </row>
    <row r="133" spans="2:10" x14ac:dyDescent="0.25">
      <c r="B133" s="194" t="s">
        <v>130</v>
      </c>
      <c r="C133" s="195">
        <v>0</v>
      </c>
      <c r="D133" s="195">
        <v>17</v>
      </c>
      <c r="E133" s="195">
        <v>32</v>
      </c>
      <c r="F133" s="195">
        <v>28</v>
      </c>
      <c r="G133" s="195">
        <v>24</v>
      </c>
      <c r="H133" s="195">
        <v>32</v>
      </c>
      <c r="I133" s="196">
        <f t="shared" si="17"/>
        <v>0.33333333333333326</v>
      </c>
      <c r="J133" s="196">
        <f>H133/H123</f>
        <v>1.4672168729940394E-3</v>
      </c>
    </row>
    <row r="134" spans="2:10" x14ac:dyDescent="0.25">
      <c r="B134" s="194" t="s">
        <v>133</v>
      </c>
      <c r="C134" s="195">
        <v>25</v>
      </c>
      <c r="D134" s="195">
        <v>33</v>
      </c>
      <c r="E134" s="195">
        <v>34</v>
      </c>
      <c r="F134" s="195">
        <v>37</v>
      </c>
      <c r="G134" s="195">
        <v>24</v>
      </c>
      <c r="H134" s="195">
        <v>25</v>
      </c>
      <c r="I134" s="196">
        <f t="shared" si="17"/>
        <v>4.1666666666666741E-2</v>
      </c>
      <c r="J134" s="196">
        <f>H134/H123</f>
        <v>1.1462631820265932E-3</v>
      </c>
    </row>
    <row r="135" spans="2:10" x14ac:dyDescent="0.25">
      <c r="B135" s="199" t="s">
        <v>147</v>
      </c>
      <c r="C135" s="200">
        <f t="shared" ref="C135:H135" si="18">C127-SUM(C128:C134)</f>
        <v>1777</v>
      </c>
      <c r="D135" s="200">
        <f t="shared" si="18"/>
        <v>3804</v>
      </c>
      <c r="E135" s="200">
        <f t="shared" si="18"/>
        <v>4393</v>
      </c>
      <c r="F135" s="200">
        <f t="shared" si="18"/>
        <v>2698</v>
      </c>
      <c r="G135" s="200">
        <f t="shared" si="18"/>
        <v>3231</v>
      </c>
      <c r="H135" s="200">
        <f t="shared" si="18"/>
        <v>3633</v>
      </c>
      <c r="I135" s="201">
        <f t="shared" si="17"/>
        <v>0.12441968430826367</v>
      </c>
      <c r="J135" s="201">
        <f>H135/H123</f>
        <v>0.16657496561210455</v>
      </c>
    </row>
    <row r="136" spans="2:10" x14ac:dyDescent="0.25">
      <c r="B136" s="186" t="s">
        <v>54</v>
      </c>
      <c r="C136" s="207"/>
      <c r="D136" s="207"/>
      <c r="E136" s="207"/>
      <c r="F136" s="207"/>
      <c r="G136" s="207"/>
      <c r="H136" s="207"/>
      <c r="I136" s="208"/>
      <c r="J136" s="208"/>
    </row>
    <row r="137" spans="2:10" x14ac:dyDescent="0.25">
      <c r="B137" s="187" t="s">
        <v>70</v>
      </c>
      <c r="C137" s="209">
        <v>5725</v>
      </c>
      <c r="D137" s="209">
        <v>15267</v>
      </c>
      <c r="E137" s="209">
        <v>20130</v>
      </c>
      <c r="F137" s="209">
        <v>22106</v>
      </c>
      <c r="G137" s="209">
        <v>21182</v>
      </c>
      <c r="H137" s="209">
        <v>24257</v>
      </c>
      <c r="I137" s="210">
        <f t="shared" ref="I137:I149" si="19">IFERROR(H137/G137-1,"-")</f>
        <v>0.14517042772165056</v>
      </c>
      <c r="J137" s="210">
        <f>H137/H137</f>
        <v>1</v>
      </c>
    </row>
    <row r="138" spans="2:10" x14ac:dyDescent="0.25">
      <c r="B138" s="190" t="s">
        <v>99</v>
      </c>
      <c r="C138" s="191">
        <v>3978</v>
      </c>
      <c r="D138" s="191">
        <v>5192</v>
      </c>
      <c r="E138" s="191">
        <v>3446</v>
      </c>
      <c r="F138" s="191">
        <v>3382</v>
      </c>
      <c r="G138" s="191">
        <v>2838</v>
      </c>
      <c r="H138" s="191">
        <v>5461</v>
      </c>
      <c r="I138" s="192">
        <f t="shared" si="19"/>
        <v>0.92424242424242431</v>
      </c>
      <c r="J138" s="192">
        <f>H138/H137</f>
        <v>0.22513089005235601</v>
      </c>
    </row>
    <row r="139" spans="2:10" x14ac:dyDescent="0.25">
      <c r="B139" s="194" t="s">
        <v>105</v>
      </c>
      <c r="C139" s="195">
        <v>2381</v>
      </c>
      <c r="D139" s="195">
        <v>3849</v>
      </c>
      <c r="E139" s="195">
        <v>2532</v>
      </c>
      <c r="F139" s="195">
        <v>2355</v>
      </c>
      <c r="G139" s="195">
        <v>1691</v>
      </c>
      <c r="H139" s="195">
        <v>3661</v>
      </c>
      <c r="I139" s="196">
        <f t="shared" si="19"/>
        <v>1.1649911295091662</v>
      </c>
      <c r="J139" s="196">
        <f>H139/H137</f>
        <v>0.15092550603949376</v>
      </c>
    </row>
    <row r="140" spans="2:10" x14ac:dyDescent="0.25">
      <c r="B140" s="194" t="s">
        <v>102</v>
      </c>
      <c r="C140" s="195">
        <v>1597</v>
      </c>
      <c r="D140" s="195">
        <v>1343</v>
      </c>
      <c r="E140" s="195">
        <v>914</v>
      </c>
      <c r="F140" s="195">
        <v>1027</v>
      </c>
      <c r="G140" s="195">
        <v>1147</v>
      </c>
      <c r="H140" s="195">
        <v>1800</v>
      </c>
      <c r="I140" s="196">
        <f t="shared" si="19"/>
        <v>0.56931124673060163</v>
      </c>
      <c r="J140" s="196">
        <f>H140/H137</f>
        <v>7.4205384012862266E-2</v>
      </c>
    </row>
    <row r="141" spans="2:10" x14ac:dyDescent="0.25">
      <c r="B141" s="190" t="s">
        <v>109</v>
      </c>
      <c r="C141" s="191">
        <v>1747</v>
      </c>
      <c r="D141" s="191">
        <v>10075</v>
      </c>
      <c r="E141" s="191">
        <v>16684</v>
      </c>
      <c r="F141" s="191">
        <v>18724</v>
      </c>
      <c r="G141" s="191">
        <v>18344</v>
      </c>
      <c r="H141" s="191">
        <v>18796</v>
      </c>
      <c r="I141" s="192">
        <f t="shared" si="19"/>
        <v>2.4640209332751795E-2</v>
      </c>
      <c r="J141" s="192">
        <f>H141/H137</f>
        <v>0.77486910994764402</v>
      </c>
    </row>
    <row r="142" spans="2:10" x14ac:dyDescent="0.25">
      <c r="B142" s="194" t="s">
        <v>112</v>
      </c>
      <c r="C142" s="195">
        <v>247</v>
      </c>
      <c r="D142" s="195">
        <v>2693</v>
      </c>
      <c r="E142" s="195">
        <v>8053</v>
      </c>
      <c r="F142" s="195">
        <v>9284</v>
      </c>
      <c r="G142" s="195">
        <v>9243</v>
      </c>
      <c r="H142" s="195">
        <v>9507</v>
      </c>
      <c r="I142" s="196">
        <f t="shared" si="19"/>
        <v>2.8562155144433721E-2</v>
      </c>
      <c r="J142" s="196">
        <f>H142/H137</f>
        <v>0.3919281032279342</v>
      </c>
    </row>
    <row r="143" spans="2:10" x14ac:dyDescent="0.25">
      <c r="B143" s="194" t="s">
        <v>115</v>
      </c>
      <c r="C143" s="195">
        <v>76</v>
      </c>
      <c r="D143" s="195">
        <v>827</v>
      </c>
      <c r="E143" s="195">
        <v>1047</v>
      </c>
      <c r="F143" s="195">
        <v>1465</v>
      </c>
      <c r="G143" s="195">
        <v>1114</v>
      </c>
      <c r="H143" s="195">
        <v>1375</v>
      </c>
      <c r="I143" s="196">
        <f t="shared" si="19"/>
        <v>0.23429084380610421</v>
      </c>
      <c r="J143" s="196">
        <f>H143/H137</f>
        <v>5.6684668343158676E-2</v>
      </c>
    </row>
    <row r="144" spans="2:10" x14ac:dyDescent="0.25">
      <c r="B144" s="194" t="s">
        <v>118</v>
      </c>
      <c r="C144" s="195">
        <v>256</v>
      </c>
      <c r="D144" s="195">
        <v>1185</v>
      </c>
      <c r="E144" s="195">
        <v>1641</v>
      </c>
      <c r="F144" s="195">
        <v>2059</v>
      </c>
      <c r="G144" s="195">
        <v>1668</v>
      </c>
      <c r="H144" s="195">
        <v>1642</v>
      </c>
      <c r="I144" s="196">
        <f t="shared" si="19"/>
        <v>-1.5587529976019199E-2</v>
      </c>
      <c r="J144" s="196">
        <f>H144/H137</f>
        <v>6.769180030506658E-2</v>
      </c>
    </row>
    <row r="145" spans="2:10" x14ac:dyDescent="0.25">
      <c r="B145" s="194" t="s">
        <v>125</v>
      </c>
      <c r="C145" s="195">
        <v>2</v>
      </c>
      <c r="D145" s="195">
        <v>686</v>
      </c>
      <c r="E145" s="195">
        <v>808</v>
      </c>
      <c r="F145" s="195">
        <v>805</v>
      </c>
      <c r="G145" s="195">
        <v>446</v>
      </c>
      <c r="H145" s="195">
        <v>459</v>
      </c>
      <c r="I145" s="196">
        <f t="shared" si="19"/>
        <v>2.9147982062780242E-2</v>
      </c>
      <c r="J145" s="196">
        <f>H145/H137</f>
        <v>1.8922372923279879E-2</v>
      </c>
    </row>
    <row r="146" spans="2:10" x14ac:dyDescent="0.25">
      <c r="B146" s="194" t="s">
        <v>121</v>
      </c>
      <c r="C146" s="195">
        <v>168</v>
      </c>
      <c r="D146" s="195">
        <v>500</v>
      </c>
      <c r="E146" s="195">
        <v>331</v>
      </c>
      <c r="F146" s="195">
        <v>339</v>
      </c>
      <c r="G146" s="195">
        <v>217</v>
      </c>
      <c r="H146" s="195">
        <v>205</v>
      </c>
      <c r="I146" s="196">
        <f t="shared" si="19"/>
        <v>-5.5299539170506895E-2</v>
      </c>
      <c r="J146" s="196">
        <f>H146/H137</f>
        <v>8.4511687347982034E-3</v>
      </c>
    </row>
    <row r="147" spans="2:10" x14ac:dyDescent="0.25">
      <c r="B147" s="194" t="s">
        <v>130</v>
      </c>
      <c r="C147" s="195">
        <v>2</v>
      </c>
      <c r="D147" s="195">
        <v>3</v>
      </c>
      <c r="E147" s="195">
        <v>21</v>
      </c>
      <c r="F147" s="195">
        <v>12</v>
      </c>
      <c r="G147" s="195">
        <v>10</v>
      </c>
      <c r="H147" s="195">
        <v>17</v>
      </c>
      <c r="I147" s="196">
        <f t="shared" si="19"/>
        <v>0.7</v>
      </c>
      <c r="J147" s="196">
        <f>H147/H137</f>
        <v>7.0082862678814365E-4</v>
      </c>
    </row>
    <row r="148" spans="2:10" x14ac:dyDescent="0.25">
      <c r="B148" s="194" t="s">
        <v>133</v>
      </c>
      <c r="C148" s="195">
        <v>0</v>
      </c>
      <c r="D148" s="195">
        <v>0</v>
      </c>
      <c r="E148" s="195">
        <v>0</v>
      </c>
      <c r="F148" s="195">
        <v>11</v>
      </c>
      <c r="G148" s="195">
        <v>12</v>
      </c>
      <c r="H148" s="195">
        <v>7</v>
      </c>
      <c r="I148" s="196">
        <f t="shared" si="19"/>
        <v>-0.41666666666666663</v>
      </c>
      <c r="J148" s="196">
        <f>H148/H137</f>
        <v>2.8857649338335324E-4</v>
      </c>
    </row>
    <row r="149" spans="2:10" x14ac:dyDescent="0.25">
      <c r="B149" s="199" t="s">
        <v>147</v>
      </c>
      <c r="C149" s="200">
        <f t="shared" ref="C149:H149" si="20">C141-SUM(C142:C148)</f>
        <v>996</v>
      </c>
      <c r="D149" s="200">
        <f t="shared" si="20"/>
        <v>4181</v>
      </c>
      <c r="E149" s="200">
        <f t="shared" si="20"/>
        <v>4783</v>
      </c>
      <c r="F149" s="200">
        <f t="shared" si="20"/>
        <v>4749</v>
      </c>
      <c r="G149" s="200">
        <f t="shared" si="20"/>
        <v>5634</v>
      </c>
      <c r="H149" s="200">
        <f t="shared" si="20"/>
        <v>5584</v>
      </c>
      <c r="I149" s="201">
        <f t="shared" si="19"/>
        <v>-8.8746893858715481E-3</v>
      </c>
      <c r="J149" s="201">
        <f>H149/H137</f>
        <v>0.23020159129323495</v>
      </c>
    </row>
    <row r="150" spans="2:10" x14ac:dyDescent="0.25">
      <c r="B150" s="186" t="s">
        <v>55</v>
      </c>
      <c r="C150" s="207"/>
      <c r="D150" s="207"/>
      <c r="E150" s="207"/>
      <c r="F150" s="207"/>
      <c r="G150" s="207"/>
      <c r="H150" s="207"/>
      <c r="I150" s="208"/>
      <c r="J150" s="208"/>
    </row>
    <row r="151" spans="2:10" x14ac:dyDescent="0.25">
      <c r="B151" s="187" t="s">
        <v>70</v>
      </c>
      <c r="C151" s="209">
        <v>3786</v>
      </c>
      <c r="D151" s="209">
        <v>7762</v>
      </c>
      <c r="E151" s="209">
        <v>9104</v>
      </c>
      <c r="F151" s="209">
        <v>10225</v>
      </c>
      <c r="G151" s="209">
        <v>11098</v>
      </c>
      <c r="H151" s="209">
        <v>11263</v>
      </c>
      <c r="I151" s="210">
        <f t="shared" ref="I151:I163" si="21">IFERROR(H151/G151-1,"-")</f>
        <v>1.4867543701567953E-2</v>
      </c>
      <c r="J151" s="210">
        <f>H151/H151</f>
        <v>1</v>
      </c>
    </row>
    <row r="152" spans="2:10" x14ac:dyDescent="0.25">
      <c r="B152" s="190" t="s">
        <v>99</v>
      </c>
      <c r="C152" s="191">
        <v>3108</v>
      </c>
      <c r="D152" s="191">
        <v>4515</v>
      </c>
      <c r="E152" s="191">
        <v>5355</v>
      </c>
      <c r="F152" s="191">
        <v>5458</v>
      </c>
      <c r="G152" s="191">
        <v>5478</v>
      </c>
      <c r="H152" s="191">
        <v>5477</v>
      </c>
      <c r="I152" s="192">
        <f t="shared" si="21"/>
        <v>-1.825483753195023E-4</v>
      </c>
      <c r="J152" s="192">
        <f>H152/H151</f>
        <v>0.486282517979224</v>
      </c>
    </row>
    <row r="153" spans="2:10" x14ac:dyDescent="0.25">
      <c r="B153" s="194" t="s">
        <v>105</v>
      </c>
      <c r="C153" s="195">
        <v>2054</v>
      </c>
      <c r="D153" s="195">
        <v>3527</v>
      </c>
      <c r="E153" s="195">
        <v>4314</v>
      </c>
      <c r="F153" s="195">
        <v>4333</v>
      </c>
      <c r="G153" s="195">
        <v>3791</v>
      </c>
      <c r="H153" s="195">
        <v>3413</v>
      </c>
      <c r="I153" s="196">
        <f t="shared" si="21"/>
        <v>-9.9709839092587682E-2</v>
      </c>
      <c r="J153" s="196">
        <f>H153/H151</f>
        <v>0.30302761253662436</v>
      </c>
    </row>
    <row r="154" spans="2:10" x14ac:dyDescent="0.25">
      <c r="B154" s="194" t="s">
        <v>102</v>
      </c>
      <c r="C154" s="195">
        <v>1054</v>
      </c>
      <c r="D154" s="195">
        <v>988</v>
      </c>
      <c r="E154" s="195">
        <v>1041</v>
      </c>
      <c r="F154" s="195">
        <v>1125</v>
      </c>
      <c r="G154" s="195">
        <v>1687</v>
      </c>
      <c r="H154" s="195">
        <v>2064</v>
      </c>
      <c r="I154" s="196">
        <f t="shared" si="21"/>
        <v>0.22347362181387087</v>
      </c>
      <c r="J154" s="196">
        <f>H154/H151</f>
        <v>0.18325490544259967</v>
      </c>
    </row>
    <row r="155" spans="2:10" x14ac:dyDescent="0.25">
      <c r="B155" s="190" t="s">
        <v>109</v>
      </c>
      <c r="C155" s="191">
        <v>678</v>
      </c>
      <c r="D155" s="191">
        <v>3247</v>
      </c>
      <c r="E155" s="191">
        <v>3749</v>
      </c>
      <c r="F155" s="191">
        <v>4767</v>
      </c>
      <c r="G155" s="191">
        <v>5620</v>
      </c>
      <c r="H155" s="191">
        <v>5786</v>
      </c>
      <c r="I155" s="192">
        <f t="shared" si="21"/>
        <v>2.9537366548042732E-2</v>
      </c>
      <c r="J155" s="192">
        <f>H155/H151</f>
        <v>0.51371748202077594</v>
      </c>
    </row>
    <row r="156" spans="2:10" x14ac:dyDescent="0.25">
      <c r="B156" s="194" t="s">
        <v>112</v>
      </c>
      <c r="C156" s="195">
        <v>25</v>
      </c>
      <c r="D156" s="195">
        <v>622</v>
      </c>
      <c r="E156" s="195">
        <v>1398</v>
      </c>
      <c r="F156" s="195">
        <v>1270</v>
      </c>
      <c r="G156" s="195">
        <v>1508</v>
      </c>
      <c r="H156" s="195">
        <v>1416</v>
      </c>
      <c r="I156" s="196">
        <f t="shared" si="21"/>
        <v>-6.1007957559681691E-2</v>
      </c>
      <c r="J156" s="196">
        <f>H156/H151</f>
        <v>0.12572138861759743</v>
      </c>
    </row>
    <row r="157" spans="2:10" x14ac:dyDescent="0.25">
      <c r="B157" s="194" t="s">
        <v>115</v>
      </c>
      <c r="C157" s="195">
        <v>75</v>
      </c>
      <c r="D157" s="195">
        <v>844</v>
      </c>
      <c r="E157" s="195">
        <v>685</v>
      </c>
      <c r="F157" s="195">
        <v>857</v>
      </c>
      <c r="G157" s="195">
        <v>741</v>
      </c>
      <c r="H157" s="195">
        <v>814</v>
      </c>
      <c r="I157" s="196">
        <f t="shared" si="21"/>
        <v>9.8515519568151078E-2</v>
      </c>
      <c r="J157" s="196">
        <f>H157/H151</f>
        <v>7.2272041196839207E-2</v>
      </c>
    </row>
    <row r="158" spans="2:10" x14ac:dyDescent="0.25">
      <c r="B158" s="194" t="s">
        <v>118</v>
      </c>
      <c r="C158" s="195">
        <v>41</v>
      </c>
      <c r="D158" s="195">
        <v>484</v>
      </c>
      <c r="E158" s="195">
        <v>526</v>
      </c>
      <c r="F158" s="195">
        <v>898</v>
      </c>
      <c r="G158" s="195">
        <v>1136</v>
      </c>
      <c r="H158" s="195">
        <v>1465</v>
      </c>
      <c r="I158" s="196">
        <f t="shared" si="21"/>
        <v>0.289612676056338</v>
      </c>
      <c r="J158" s="196">
        <f>H158/H151</f>
        <v>0.13007191689603126</v>
      </c>
    </row>
    <row r="159" spans="2:10" x14ac:dyDescent="0.25">
      <c r="B159" s="194" t="s">
        <v>125</v>
      </c>
      <c r="C159" s="195">
        <v>10</v>
      </c>
      <c r="D159" s="195">
        <v>86</v>
      </c>
      <c r="E159" s="195">
        <v>90</v>
      </c>
      <c r="F159" s="195">
        <v>143</v>
      </c>
      <c r="G159" s="195">
        <v>215</v>
      </c>
      <c r="H159" s="195">
        <v>168</v>
      </c>
      <c r="I159" s="196">
        <f t="shared" si="21"/>
        <v>-0.21860465116279071</v>
      </c>
      <c r="J159" s="196">
        <f>H159/H151</f>
        <v>1.4916096954630205E-2</v>
      </c>
    </row>
    <row r="160" spans="2:10" x14ac:dyDescent="0.25">
      <c r="B160" s="194" t="s">
        <v>121</v>
      </c>
      <c r="C160" s="195">
        <v>238</v>
      </c>
      <c r="D160" s="195">
        <v>126</v>
      </c>
      <c r="E160" s="195">
        <v>219</v>
      </c>
      <c r="F160" s="195">
        <v>267</v>
      </c>
      <c r="G160" s="195">
        <v>327</v>
      </c>
      <c r="H160" s="195">
        <v>175</v>
      </c>
      <c r="I160" s="196">
        <f t="shared" si="21"/>
        <v>-0.46483180428134552</v>
      </c>
      <c r="J160" s="196">
        <f>H160/H151</f>
        <v>1.5537600994406464E-2</v>
      </c>
    </row>
    <row r="161" spans="2:10" x14ac:dyDescent="0.25">
      <c r="B161" s="194" t="s">
        <v>130</v>
      </c>
      <c r="C161" s="195">
        <v>3</v>
      </c>
      <c r="D161" s="195">
        <v>6</v>
      </c>
      <c r="E161" s="195">
        <v>11</v>
      </c>
      <c r="F161" s="195">
        <v>13</v>
      </c>
      <c r="G161" s="195">
        <v>13</v>
      </c>
      <c r="H161" s="195">
        <v>7</v>
      </c>
      <c r="I161" s="196">
        <f t="shared" si="21"/>
        <v>-0.46153846153846156</v>
      </c>
      <c r="J161" s="196">
        <f>H161/H151</f>
        <v>6.215040397762585E-4</v>
      </c>
    </row>
    <row r="162" spans="2:10" x14ac:dyDescent="0.25">
      <c r="B162" s="194" t="s">
        <v>133</v>
      </c>
      <c r="C162" s="195">
        <v>0</v>
      </c>
      <c r="D162" s="195">
        <v>10</v>
      </c>
      <c r="E162" s="195">
        <v>6</v>
      </c>
      <c r="F162" s="195">
        <v>23</v>
      </c>
      <c r="G162" s="195">
        <v>7</v>
      </c>
      <c r="H162" s="195">
        <v>4</v>
      </c>
      <c r="I162" s="196">
        <f t="shared" si="21"/>
        <v>-0.4285714285714286</v>
      </c>
      <c r="J162" s="196">
        <f>H162/H151</f>
        <v>3.5514516558643347E-4</v>
      </c>
    </row>
    <row r="163" spans="2:10" x14ac:dyDescent="0.25">
      <c r="B163" s="199" t="s">
        <v>147</v>
      </c>
      <c r="C163" s="200">
        <f t="shared" ref="C163:H163" si="22">C155-SUM(C156:C162)</f>
        <v>286</v>
      </c>
      <c r="D163" s="200">
        <f t="shared" si="22"/>
        <v>1069</v>
      </c>
      <c r="E163" s="200">
        <f t="shared" si="22"/>
        <v>814</v>
      </c>
      <c r="F163" s="200">
        <f t="shared" si="22"/>
        <v>1296</v>
      </c>
      <c r="G163" s="200">
        <f t="shared" si="22"/>
        <v>1673</v>
      </c>
      <c r="H163" s="200">
        <f t="shared" si="22"/>
        <v>1737</v>
      </c>
      <c r="I163" s="201">
        <f t="shared" si="21"/>
        <v>3.8254632396891752E-2</v>
      </c>
      <c r="J163" s="201">
        <f>H163/H151</f>
        <v>0.15422178815590873</v>
      </c>
    </row>
    <row r="164" spans="2:10" x14ac:dyDescent="0.25">
      <c r="C164" s="103"/>
      <c r="D164" s="103"/>
      <c r="E164" s="103"/>
      <c r="F164" s="103"/>
      <c r="G164" s="103"/>
      <c r="H164" s="103"/>
      <c r="I164" s="103"/>
    </row>
    <row r="165" spans="2:10" x14ac:dyDescent="0.25">
      <c r="B165" s="131" t="s">
        <v>57</v>
      </c>
      <c r="C165" s="131"/>
      <c r="D165" s="131"/>
      <c r="E165" s="131"/>
      <c r="F165" s="131"/>
      <c r="G165" s="131"/>
      <c r="H165" s="131"/>
      <c r="I165" s="131"/>
      <c r="J165" s="131"/>
    </row>
  </sheetData>
  <mergeCells count="3">
    <mergeCell ref="B6:J6"/>
    <mergeCell ref="M6:T6"/>
    <mergeCell ref="C8:J8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220A6-171A-46D7-951C-F3DD8857848A}">
  <sheetPr>
    <tabColor theme="7" tint="0.79998168889431442"/>
    <pageSetUpPr fitToPage="1"/>
  </sheetPr>
  <dimension ref="A1:Y163"/>
  <sheetViews>
    <sheetView showGridLines="0" workbookViewId="0">
      <selection activeCell="G10" sqref="G10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2" max="12" width="11.28515625" customWidth="1"/>
    <col min="13" max="13" width="10.5703125" customWidth="1"/>
    <col min="16" max="25" width="11.42578125" hidden="1" customWidth="1"/>
  </cols>
  <sheetData>
    <row r="1" spans="1:25" ht="42.75" customHeight="1" x14ac:dyDescent="0.25"/>
    <row r="4" spans="1:25" ht="42" customHeight="1" thickBot="1" x14ac:dyDescent="0.3">
      <c r="B4" s="12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4" s="12"/>
      <c r="D4" s="12"/>
      <c r="E4" s="12"/>
      <c r="F4" s="12"/>
      <c r="G4" s="12"/>
      <c r="H4" s="12"/>
      <c r="I4" s="12"/>
      <c r="J4" s="12"/>
      <c r="K4" s="173"/>
      <c r="L4" s="173"/>
      <c r="M4" s="173"/>
      <c r="P4" s="172" t="s">
        <v>264</v>
      </c>
      <c r="Q4" s="173"/>
      <c r="R4" s="173"/>
      <c r="S4" s="173"/>
      <c r="T4" s="173"/>
      <c r="U4" s="173"/>
      <c r="V4" s="173"/>
      <c r="W4" s="173"/>
      <c r="X4" s="173"/>
      <c r="Y4" s="173"/>
    </row>
    <row r="5" spans="1:25" ht="6" customHeight="1" x14ac:dyDescent="0.25"/>
    <row r="6" spans="1:25" ht="15.75" x14ac:dyDescent="0.25">
      <c r="B6" s="174"/>
      <c r="C6" s="203" t="s">
        <v>45</v>
      </c>
      <c r="D6" s="204"/>
      <c r="E6" s="204"/>
      <c r="F6" s="204"/>
      <c r="G6" s="204"/>
      <c r="H6" s="204"/>
      <c r="I6" s="204"/>
      <c r="J6" s="204"/>
      <c r="K6" s="204"/>
      <c r="L6" s="204"/>
      <c r="M6" s="204"/>
      <c r="P6" s="174"/>
      <c r="Q6" s="203" t="s">
        <v>45</v>
      </c>
      <c r="R6" s="204"/>
      <c r="S6" s="204"/>
      <c r="T6" s="204"/>
      <c r="U6" s="204"/>
      <c r="V6" s="204"/>
      <c r="W6" s="204"/>
      <c r="X6" s="204"/>
      <c r="Y6" s="204"/>
    </row>
    <row r="7" spans="1:25" s="177" customFormat="1" ht="72" customHeight="1" x14ac:dyDescent="0.25">
      <c r="B7" s="178"/>
      <c r="C7" s="205" t="s">
        <v>265</v>
      </c>
      <c r="D7" s="205" t="s">
        <v>266</v>
      </c>
      <c r="E7" s="205" t="s">
        <v>267</v>
      </c>
      <c r="F7" s="205" t="s">
        <v>268</v>
      </c>
      <c r="G7" s="205" t="s">
        <v>269</v>
      </c>
      <c r="H7" s="205" t="s">
        <v>270</v>
      </c>
      <c r="I7" s="206" t="str">
        <f>CONCATENATE("var. ",RIGHT(H7,2),"/",RIGHT(G7,2))</f>
        <v>var. 25/24</v>
      </c>
      <c r="J7" s="206" t="str">
        <f>CONCATENATE("var. ",RIGHT(H7,2),"/",RIGHT(D7,2))</f>
        <v>var. 25/21</v>
      </c>
      <c r="K7" s="205" t="str">
        <f>CONCATENATE("dif. ",RIGHT(H7,2),"/",RIGHT(G7,2))</f>
        <v>dif. 25/24</v>
      </c>
      <c r="L7" s="205" t="str">
        <f>CONCATENATE("dif. ",RIGHT(H7,2),"/",RIGHT(D7,2))</f>
        <v>dif. 25/21</v>
      </c>
      <c r="M7" s="206" t="str">
        <f>CONCATENATE("Cuota s/ total lugares de residencia ",RIGHT(H7,4))</f>
        <v>Cuota s/ total lugares de residencia 2025</v>
      </c>
      <c r="P7" s="178"/>
      <c r="Q7" s="205" t="s">
        <v>265</v>
      </c>
      <c r="R7" s="205" t="s">
        <v>266</v>
      </c>
      <c r="S7" s="205" t="s">
        <v>267</v>
      </c>
      <c r="T7" s="205" t="s">
        <v>268</v>
      </c>
      <c r="U7" s="205" t="s">
        <v>269</v>
      </c>
      <c r="V7" s="205" t="s">
        <v>270</v>
      </c>
      <c r="W7" s="206" t="str">
        <f>CONCATENATE("var. ",RIGHT(V7,2),"/",RIGHT(U7,2))</f>
        <v>var. 25/24</v>
      </c>
      <c r="X7" s="205" t="str">
        <f>CONCATENATE("dif. ",RIGHT(V7,2),"/",RIGHT(U7,2))</f>
        <v>dif. 25/24</v>
      </c>
      <c r="Y7" s="206" t="str">
        <f>CONCATENATE("Cuota s/ total lugares de residencia ",RIGHT(V7,4))</f>
        <v>Cuota s/ total lugares de residencia 2025</v>
      </c>
    </row>
    <row r="8" spans="1:25" x14ac:dyDescent="0.25">
      <c r="A8" s="1"/>
      <c r="B8" s="183" t="s">
        <v>45</v>
      </c>
      <c r="C8" s="184"/>
      <c r="D8" s="184"/>
      <c r="E8" s="184"/>
      <c r="F8" s="184"/>
      <c r="G8" s="184"/>
      <c r="H8" s="185"/>
      <c r="I8" s="185"/>
      <c r="J8" s="185"/>
      <c r="K8" s="185"/>
      <c r="L8" s="184"/>
      <c r="M8" s="184"/>
      <c r="P8" s="186" t="s">
        <v>54</v>
      </c>
      <c r="Q8" s="184"/>
      <c r="R8" s="184"/>
      <c r="S8" s="184"/>
      <c r="T8" s="184"/>
      <c r="U8" s="184"/>
      <c r="V8" s="185"/>
      <c r="W8" s="185"/>
      <c r="X8" s="185"/>
      <c r="Y8" s="184"/>
    </row>
    <row r="9" spans="1:25" x14ac:dyDescent="0.25">
      <c r="A9" s="1" t="s">
        <v>98</v>
      </c>
      <c r="B9" s="187" t="s">
        <v>70</v>
      </c>
      <c r="C9" s="209">
        <v>1311192</v>
      </c>
      <c r="D9" s="209">
        <v>1311969</v>
      </c>
      <c r="E9" s="209">
        <v>3492085</v>
      </c>
      <c r="F9" s="209">
        <v>3849133</v>
      </c>
      <c r="G9" s="209">
        <v>4095618</v>
      </c>
      <c r="H9" s="209">
        <v>4071791</v>
      </c>
      <c r="I9" s="210">
        <f>IFERROR(H9/G9-1,"-")</f>
        <v>-5.8176812388264221E-3</v>
      </c>
      <c r="J9" s="210">
        <f>IFERROR(H9/D9-1,"-")</f>
        <v>2.1035725691689362</v>
      </c>
      <c r="K9" s="209">
        <f>H9-G9</f>
        <v>-23827</v>
      </c>
      <c r="L9" s="209">
        <f>H9-D9</f>
        <v>2759822</v>
      </c>
      <c r="M9" s="210">
        <f t="shared" ref="M9:M21" si="0">H9/H$9</f>
        <v>1</v>
      </c>
      <c r="P9" s="187" t="s">
        <v>70</v>
      </c>
      <c r="Q9" s="209">
        <v>71319</v>
      </c>
      <c r="R9" s="209">
        <v>77584</v>
      </c>
      <c r="S9" s="209">
        <v>190426</v>
      </c>
      <c r="T9" s="209">
        <v>205238</v>
      </c>
      <c r="U9" s="209">
        <v>213816</v>
      </c>
      <c r="V9" s="209">
        <v>213733</v>
      </c>
      <c r="W9" s="210">
        <f>IFERROR(V9/U9-1,"-")</f>
        <v>-3.8818423317243944E-4</v>
      </c>
      <c r="X9" s="209">
        <f>V9-U9</f>
        <v>-83</v>
      </c>
      <c r="Y9" s="210">
        <f t="shared" ref="Y9:Y21" si="1">V9/V$9</f>
        <v>1</v>
      </c>
    </row>
    <row r="10" spans="1:25" x14ac:dyDescent="0.25">
      <c r="A10" s="193" t="s">
        <v>105</v>
      </c>
      <c r="B10" s="190" t="s">
        <v>99</v>
      </c>
      <c r="C10" s="191">
        <v>355635</v>
      </c>
      <c r="D10" s="191">
        <v>606515</v>
      </c>
      <c r="E10" s="191">
        <v>802083</v>
      </c>
      <c r="F10" s="191">
        <v>830806</v>
      </c>
      <c r="G10" s="191">
        <v>834904</v>
      </c>
      <c r="H10" s="191">
        <v>845159</v>
      </c>
      <c r="I10" s="211">
        <f>IFERROR(H10/G10-1,"-")</f>
        <v>1.2282849285666364E-2</v>
      </c>
      <c r="J10" s="192">
        <f t="shared" ref="J10:J21" si="2">IFERROR(H10/D10-1,"-")</f>
        <v>0.39346759766864792</v>
      </c>
      <c r="K10" s="191">
        <f t="shared" ref="K10:K20" si="3">H10-G10</f>
        <v>10255</v>
      </c>
      <c r="L10" s="191">
        <f t="shared" ref="L10:L21" si="4">H10-D10</f>
        <v>238644</v>
      </c>
      <c r="M10" s="192">
        <f t="shared" si="0"/>
        <v>0.20756443540446942</v>
      </c>
      <c r="P10" s="190" t="s">
        <v>99</v>
      </c>
      <c r="Q10" s="191">
        <v>14652</v>
      </c>
      <c r="R10" s="191">
        <v>37616</v>
      </c>
      <c r="S10" s="191">
        <v>24500</v>
      </c>
      <c r="T10" s="191">
        <v>26474</v>
      </c>
      <c r="U10" s="191">
        <v>22996</v>
      </c>
      <c r="V10" s="191">
        <v>26539</v>
      </c>
      <c r="W10" s="211">
        <f>IFERROR(V10/U10-1,"-")</f>
        <v>0.15407027309097243</v>
      </c>
      <c r="X10" s="190">
        <f t="shared" ref="X10:X20" si="5">V10-U10</f>
        <v>3543</v>
      </c>
      <c r="Y10" s="192">
        <f t="shared" si="1"/>
        <v>0.12416893975193349</v>
      </c>
    </row>
    <row r="11" spans="1:25" x14ac:dyDescent="0.25">
      <c r="A11" s="193" t="s">
        <v>102</v>
      </c>
      <c r="B11" s="194" t="s">
        <v>105</v>
      </c>
      <c r="C11" s="195">
        <v>151426</v>
      </c>
      <c r="D11" s="195">
        <v>325238</v>
      </c>
      <c r="E11" s="195">
        <v>341997</v>
      </c>
      <c r="F11" s="195">
        <v>348792</v>
      </c>
      <c r="G11" s="195">
        <v>338193</v>
      </c>
      <c r="H11" s="195">
        <v>332797</v>
      </c>
      <c r="I11" s="212">
        <f>IFERROR(H11/G11-1,"-")</f>
        <v>-1.595538642136296E-2</v>
      </c>
      <c r="J11" s="196">
        <f t="shared" si="2"/>
        <v>2.3241441651959516E-2</v>
      </c>
      <c r="K11" s="195">
        <f t="shared" si="3"/>
        <v>-5396</v>
      </c>
      <c r="L11" s="195">
        <f t="shared" si="4"/>
        <v>7559</v>
      </c>
      <c r="M11" s="196">
        <f t="shared" si="0"/>
        <v>8.1732338423067388E-2</v>
      </c>
      <c r="P11" s="194" t="s">
        <v>105</v>
      </c>
      <c r="Q11" s="195">
        <v>10065</v>
      </c>
      <c r="R11" s="195">
        <v>28597</v>
      </c>
      <c r="S11" s="195">
        <v>17244</v>
      </c>
      <c r="T11" s="195">
        <v>17464</v>
      </c>
      <c r="U11" s="195">
        <v>15005</v>
      </c>
      <c r="V11" s="195">
        <v>16291</v>
      </c>
      <c r="W11" s="212">
        <f>IFERROR(V11/U11-1,"-")</f>
        <v>8.5704765078307155E-2</v>
      </c>
      <c r="X11" s="194">
        <f t="shared" si="5"/>
        <v>1286</v>
      </c>
      <c r="Y11" s="196">
        <f>V11/V$9</f>
        <v>7.6221266720628067E-2</v>
      </c>
    </row>
    <row r="12" spans="1:25" x14ac:dyDescent="0.25">
      <c r="A12" s="1"/>
      <c r="B12" s="194" t="s">
        <v>102</v>
      </c>
      <c r="C12" s="195">
        <v>204209</v>
      </c>
      <c r="D12" s="195">
        <v>281277</v>
      </c>
      <c r="E12" s="195">
        <v>460086</v>
      </c>
      <c r="F12" s="195">
        <v>482014</v>
      </c>
      <c r="G12" s="195">
        <v>496711</v>
      </c>
      <c r="H12" s="195">
        <v>512362</v>
      </c>
      <c r="I12" s="212">
        <f>IFERROR(H12/G12-1,"-")</f>
        <v>3.1509267964671572E-2</v>
      </c>
      <c r="J12" s="196">
        <f t="shared" si="2"/>
        <v>0.82155668611368871</v>
      </c>
      <c r="K12" s="195">
        <f t="shared" si="3"/>
        <v>15651</v>
      </c>
      <c r="L12" s="195">
        <f t="shared" si="4"/>
        <v>231085</v>
      </c>
      <c r="M12" s="196">
        <f t="shared" si="0"/>
        <v>0.12583209698140205</v>
      </c>
      <c r="P12" s="194" t="s">
        <v>102</v>
      </c>
      <c r="Q12" s="195">
        <v>4587</v>
      </c>
      <c r="R12" s="195">
        <v>9019</v>
      </c>
      <c r="S12" s="195">
        <v>7256</v>
      </c>
      <c r="T12" s="195">
        <v>9010</v>
      </c>
      <c r="U12" s="195">
        <v>7991</v>
      </c>
      <c r="V12" s="195">
        <v>10248</v>
      </c>
      <c r="W12" s="212">
        <f>IFERROR(V12/U12-1,"-")</f>
        <v>0.28244274809160297</v>
      </c>
      <c r="X12" s="194">
        <f t="shared" si="5"/>
        <v>2257</v>
      </c>
      <c r="Y12" s="196">
        <f t="shared" si="1"/>
        <v>4.7947673031305413E-2</v>
      </c>
    </row>
    <row r="13" spans="1:25" s="74" customFormat="1" x14ac:dyDescent="0.25">
      <c r="B13" s="190" t="s">
        <v>109</v>
      </c>
      <c r="C13" s="191">
        <v>955557</v>
      </c>
      <c r="D13" s="191">
        <v>705454</v>
      </c>
      <c r="E13" s="191">
        <v>2690002</v>
      </c>
      <c r="F13" s="191">
        <v>3018327</v>
      </c>
      <c r="G13" s="191">
        <v>3260714</v>
      </c>
      <c r="H13" s="191">
        <v>3226632</v>
      </c>
      <c r="I13" s="211">
        <f>IFERROR(H13/G13-1,"-")</f>
        <v>-1.0452311978296769E-2</v>
      </c>
      <c r="J13" s="192">
        <f t="shared" si="2"/>
        <v>3.5738375570908945</v>
      </c>
      <c r="K13" s="191">
        <f t="shared" si="3"/>
        <v>-34082</v>
      </c>
      <c r="L13" s="191">
        <f t="shared" si="4"/>
        <v>2521178</v>
      </c>
      <c r="M13" s="192">
        <f t="shared" si="0"/>
        <v>0.79243556459553055</v>
      </c>
      <c r="P13" s="190" t="s">
        <v>109</v>
      </c>
      <c r="Q13" s="191">
        <v>56667</v>
      </c>
      <c r="R13" s="191">
        <v>39968</v>
      </c>
      <c r="S13" s="191">
        <v>165926</v>
      </c>
      <c r="T13" s="191">
        <v>178764</v>
      </c>
      <c r="U13" s="191">
        <v>190820</v>
      </c>
      <c r="V13" s="191">
        <v>187194</v>
      </c>
      <c r="W13" s="211">
        <f>IFERROR(V13/U13-1,"-")</f>
        <v>-1.9002201027146004E-2</v>
      </c>
      <c r="X13" s="190">
        <f t="shared" si="5"/>
        <v>-3626</v>
      </c>
      <c r="Y13" s="192">
        <f t="shared" si="1"/>
        <v>0.87583106024806656</v>
      </c>
    </row>
    <row r="14" spans="1:25" s="74" customFormat="1" x14ac:dyDescent="0.25">
      <c r="B14" s="194" t="s">
        <v>112</v>
      </c>
      <c r="C14" s="195">
        <v>368680</v>
      </c>
      <c r="D14" s="195">
        <v>143554</v>
      </c>
      <c r="E14" s="195">
        <v>1262054</v>
      </c>
      <c r="F14" s="195">
        <v>1438371</v>
      </c>
      <c r="G14" s="195">
        <v>1561349</v>
      </c>
      <c r="H14" s="195">
        <v>1555048</v>
      </c>
      <c r="I14" s="212">
        <f t="shared" ref="I14:I21" si="6">IFERROR(H14/G14-1,"-")</f>
        <v>-4.0356127938084851E-3</v>
      </c>
      <c r="J14" s="196">
        <f t="shared" si="2"/>
        <v>9.8324950889560725</v>
      </c>
      <c r="K14" s="195">
        <f t="shared" si="3"/>
        <v>-6301</v>
      </c>
      <c r="L14" s="195">
        <f t="shared" si="4"/>
        <v>1411494</v>
      </c>
      <c r="M14" s="196">
        <f t="shared" si="0"/>
        <v>0.38190761755699149</v>
      </c>
      <c r="P14" s="194" t="s">
        <v>112</v>
      </c>
      <c r="Q14" s="195">
        <v>22281</v>
      </c>
      <c r="R14" s="195">
        <v>6710</v>
      </c>
      <c r="S14" s="195">
        <v>71304</v>
      </c>
      <c r="T14" s="195">
        <v>77058</v>
      </c>
      <c r="U14" s="195">
        <v>86387</v>
      </c>
      <c r="V14" s="195">
        <v>87998</v>
      </c>
      <c r="W14" s="212">
        <f t="shared" ref="W14:W21" si="7">IFERROR(V14/U14-1,"-")</f>
        <v>1.8648639262851985E-2</v>
      </c>
      <c r="X14" s="194">
        <f t="shared" si="5"/>
        <v>1611</v>
      </c>
      <c r="Y14" s="196">
        <f t="shared" si="1"/>
        <v>0.41171929463395918</v>
      </c>
    </row>
    <row r="15" spans="1:25" x14ac:dyDescent="0.25">
      <c r="A15" s="1"/>
      <c r="B15" s="194" t="s">
        <v>115</v>
      </c>
      <c r="C15" s="195">
        <v>121788</v>
      </c>
      <c r="D15" s="195">
        <v>104995</v>
      </c>
      <c r="E15" s="195">
        <v>266922</v>
      </c>
      <c r="F15" s="195">
        <v>303364</v>
      </c>
      <c r="G15" s="195">
        <v>315820</v>
      </c>
      <c r="H15" s="195">
        <v>309639</v>
      </c>
      <c r="I15" s="212">
        <f t="shared" si="6"/>
        <v>-1.9571274776771563E-2</v>
      </c>
      <c r="J15" s="196">
        <f t="shared" si="2"/>
        <v>1.9490832896804609</v>
      </c>
      <c r="K15" s="195">
        <f t="shared" si="3"/>
        <v>-6181</v>
      </c>
      <c r="L15" s="195">
        <f t="shared" si="4"/>
        <v>204644</v>
      </c>
      <c r="M15" s="196">
        <f t="shared" si="0"/>
        <v>7.6044914878980768E-2</v>
      </c>
      <c r="P15" s="194" t="s">
        <v>115</v>
      </c>
      <c r="Q15" s="195">
        <v>4317</v>
      </c>
      <c r="R15" s="195">
        <v>3916</v>
      </c>
      <c r="S15" s="195">
        <v>10802</v>
      </c>
      <c r="T15" s="195">
        <v>14655</v>
      </c>
      <c r="U15" s="195">
        <v>15235</v>
      </c>
      <c r="V15" s="195">
        <v>14913</v>
      </c>
      <c r="W15" s="212">
        <f t="shared" si="7"/>
        <v>-2.1135543157203784E-2</v>
      </c>
      <c r="X15" s="194">
        <f t="shared" si="5"/>
        <v>-322</v>
      </c>
      <c r="Y15" s="196">
        <f t="shared" si="1"/>
        <v>6.9773970327464643E-2</v>
      </c>
    </row>
    <row r="16" spans="1:25" x14ac:dyDescent="0.25">
      <c r="A16" s="1"/>
      <c r="B16" s="194" t="s">
        <v>118</v>
      </c>
      <c r="C16" s="195">
        <v>46683</v>
      </c>
      <c r="D16" s="195">
        <v>81248</v>
      </c>
      <c r="E16" s="195">
        <v>143090</v>
      </c>
      <c r="F16" s="195">
        <v>161004</v>
      </c>
      <c r="G16" s="195">
        <v>174252</v>
      </c>
      <c r="H16" s="195">
        <v>168531</v>
      </c>
      <c r="I16" s="212">
        <f t="shared" si="6"/>
        <v>-3.2831760898009765E-2</v>
      </c>
      <c r="J16" s="196">
        <f t="shared" si="2"/>
        <v>1.0742787514769594</v>
      </c>
      <c r="K16" s="195">
        <f t="shared" si="3"/>
        <v>-5721</v>
      </c>
      <c r="L16" s="195">
        <f t="shared" si="4"/>
        <v>87283</v>
      </c>
      <c r="M16" s="196">
        <f t="shared" si="0"/>
        <v>4.1389894520617587E-2</v>
      </c>
      <c r="P16" s="194" t="s">
        <v>118</v>
      </c>
      <c r="Q16" s="195">
        <v>4696</v>
      </c>
      <c r="R16" s="195">
        <v>8530</v>
      </c>
      <c r="S16" s="195">
        <v>20585</v>
      </c>
      <c r="T16" s="195">
        <v>19204</v>
      </c>
      <c r="U16" s="195">
        <v>19029</v>
      </c>
      <c r="V16" s="195">
        <v>17301</v>
      </c>
      <c r="W16" s="212">
        <f t="shared" si="7"/>
        <v>-9.0808765568343053E-2</v>
      </c>
      <c r="X16" s="194">
        <f t="shared" si="5"/>
        <v>-1728</v>
      </c>
      <c r="Y16" s="196">
        <f t="shared" si="1"/>
        <v>8.0946788750450333E-2</v>
      </c>
    </row>
    <row r="17" spans="1:25" x14ac:dyDescent="0.25">
      <c r="A17" s="1"/>
      <c r="B17" s="194" t="s">
        <v>125</v>
      </c>
      <c r="C17" s="195">
        <v>36153</v>
      </c>
      <c r="D17" s="195">
        <v>43472</v>
      </c>
      <c r="E17" s="195">
        <v>132833</v>
      </c>
      <c r="F17" s="195">
        <v>122542</v>
      </c>
      <c r="G17" s="195">
        <v>129946</v>
      </c>
      <c r="H17" s="195">
        <v>120838</v>
      </c>
      <c r="I17" s="212">
        <f t="shared" si="6"/>
        <v>-7.0090653040493778E-2</v>
      </c>
      <c r="J17" s="196">
        <f t="shared" si="2"/>
        <v>1.7796742730953259</v>
      </c>
      <c r="K17" s="195">
        <f t="shared" si="3"/>
        <v>-9108</v>
      </c>
      <c r="L17" s="195">
        <f t="shared" si="4"/>
        <v>77366</v>
      </c>
      <c r="M17" s="196">
        <f t="shared" si="0"/>
        <v>2.9676867010119134E-2</v>
      </c>
      <c r="P17" s="194" t="s">
        <v>125</v>
      </c>
      <c r="Q17" s="195">
        <v>936</v>
      </c>
      <c r="R17" s="195">
        <v>1217</v>
      </c>
      <c r="S17" s="195">
        <v>7986</v>
      </c>
      <c r="T17" s="195">
        <v>6796</v>
      </c>
      <c r="U17" s="195">
        <v>4730</v>
      </c>
      <c r="V17" s="195">
        <v>4410</v>
      </c>
      <c r="W17" s="212">
        <f t="shared" si="7"/>
        <v>-6.7653276955602526E-2</v>
      </c>
      <c r="X17" s="194">
        <f t="shared" si="5"/>
        <v>-320</v>
      </c>
      <c r="Y17" s="196">
        <f t="shared" si="1"/>
        <v>2.0633219951996181E-2</v>
      </c>
    </row>
    <row r="18" spans="1:25" x14ac:dyDescent="0.25">
      <c r="A18" s="1"/>
      <c r="B18" s="194" t="s">
        <v>121</v>
      </c>
      <c r="C18" s="195">
        <v>47605</v>
      </c>
      <c r="D18" s="195">
        <v>45336</v>
      </c>
      <c r="E18" s="195">
        <v>106439</v>
      </c>
      <c r="F18" s="195">
        <v>108990</v>
      </c>
      <c r="G18" s="195">
        <v>115024</v>
      </c>
      <c r="H18" s="195">
        <v>104640</v>
      </c>
      <c r="I18" s="212">
        <f t="shared" si="6"/>
        <v>-9.0276811795799161E-2</v>
      </c>
      <c r="J18" s="196">
        <f t="shared" si="2"/>
        <v>1.3080995235574377</v>
      </c>
      <c r="K18" s="195">
        <f t="shared" si="3"/>
        <v>-10384</v>
      </c>
      <c r="L18" s="195">
        <f t="shared" si="4"/>
        <v>59304</v>
      </c>
      <c r="M18" s="196">
        <f t="shared" si="0"/>
        <v>2.5698764990639254E-2</v>
      </c>
      <c r="P18" s="194" t="s">
        <v>121</v>
      </c>
      <c r="Q18" s="195">
        <v>1567</v>
      </c>
      <c r="R18" s="195">
        <v>1759</v>
      </c>
      <c r="S18" s="195">
        <v>3300</v>
      </c>
      <c r="T18" s="195">
        <v>3893</v>
      </c>
      <c r="U18" s="195">
        <v>4292</v>
      </c>
      <c r="V18" s="195">
        <v>3200</v>
      </c>
      <c r="W18" s="212">
        <f t="shared" si="7"/>
        <v>-0.25442684063373722</v>
      </c>
      <c r="X18" s="194">
        <f t="shared" si="5"/>
        <v>-1092</v>
      </c>
      <c r="Y18" s="196">
        <f t="shared" si="1"/>
        <v>1.4971950985575461E-2</v>
      </c>
    </row>
    <row r="19" spans="1:25" x14ac:dyDescent="0.25">
      <c r="A19" s="193" t="s">
        <v>146</v>
      </c>
      <c r="B19" s="194" t="s">
        <v>130</v>
      </c>
      <c r="C19" s="195">
        <v>28519</v>
      </c>
      <c r="D19" s="195">
        <v>3834</v>
      </c>
      <c r="E19" s="195">
        <v>37941</v>
      </c>
      <c r="F19" s="195">
        <v>46327</v>
      </c>
      <c r="G19" s="195">
        <v>42252</v>
      </c>
      <c r="H19" s="195">
        <v>41139</v>
      </c>
      <c r="I19" s="212">
        <f t="shared" si="6"/>
        <v>-2.6341948310139141E-2</v>
      </c>
      <c r="J19" s="196">
        <f t="shared" si="2"/>
        <v>9.7300469483568079</v>
      </c>
      <c r="K19" s="195">
        <f t="shared" si="3"/>
        <v>-1113</v>
      </c>
      <c r="L19" s="195">
        <f t="shared" si="4"/>
        <v>37305</v>
      </c>
      <c r="M19" s="196">
        <f t="shared" si="0"/>
        <v>1.0103416408160438E-2</v>
      </c>
      <c r="P19" s="194" t="s">
        <v>130</v>
      </c>
      <c r="Q19" s="195">
        <v>1963</v>
      </c>
      <c r="R19" s="195">
        <v>67</v>
      </c>
      <c r="S19" s="195">
        <v>1898</v>
      </c>
      <c r="T19" s="195">
        <v>2272</v>
      </c>
      <c r="U19" s="195">
        <v>2036</v>
      </c>
      <c r="V19" s="195">
        <v>2333</v>
      </c>
      <c r="W19" s="212">
        <f t="shared" si="7"/>
        <v>0.1458742632612966</v>
      </c>
      <c r="X19" s="194">
        <f t="shared" si="5"/>
        <v>297</v>
      </c>
      <c r="Y19" s="196">
        <f t="shared" si="1"/>
        <v>1.091548801542111E-2</v>
      </c>
    </row>
    <row r="20" spans="1:25" x14ac:dyDescent="0.25">
      <c r="A20" s="198" t="s">
        <v>147</v>
      </c>
      <c r="B20" s="194" t="s">
        <v>133</v>
      </c>
      <c r="C20" s="195">
        <v>40390</v>
      </c>
      <c r="D20" s="195">
        <v>3295</v>
      </c>
      <c r="E20" s="195">
        <v>28084</v>
      </c>
      <c r="F20" s="195">
        <v>41477</v>
      </c>
      <c r="G20" s="195">
        <v>41887</v>
      </c>
      <c r="H20" s="195">
        <v>33556</v>
      </c>
      <c r="I20" s="212">
        <f t="shared" si="6"/>
        <v>-0.19889225774106523</v>
      </c>
      <c r="J20" s="196">
        <f t="shared" si="2"/>
        <v>9.1839150227617594</v>
      </c>
      <c r="K20" s="195">
        <f t="shared" si="3"/>
        <v>-8331</v>
      </c>
      <c r="L20" s="195">
        <f t="shared" si="4"/>
        <v>30261</v>
      </c>
      <c r="M20" s="196">
        <f t="shared" si="0"/>
        <v>8.2410909597275504E-3</v>
      </c>
      <c r="P20" s="194" t="s">
        <v>133</v>
      </c>
      <c r="Q20" s="195">
        <v>3936</v>
      </c>
      <c r="R20" s="195">
        <v>53</v>
      </c>
      <c r="S20" s="195">
        <v>926</v>
      </c>
      <c r="T20" s="195">
        <v>1641</v>
      </c>
      <c r="U20" s="195">
        <v>1499</v>
      </c>
      <c r="V20" s="195">
        <v>1133</v>
      </c>
      <c r="W20" s="212">
        <f t="shared" si="7"/>
        <v>-0.24416277518345564</v>
      </c>
      <c r="X20" s="194">
        <f t="shared" si="5"/>
        <v>-366</v>
      </c>
      <c r="Y20" s="196">
        <f t="shared" si="1"/>
        <v>5.3010063958303117E-3</v>
      </c>
    </row>
    <row r="21" spans="1:25" x14ac:dyDescent="0.25">
      <c r="B21" s="199" t="s">
        <v>147</v>
      </c>
      <c r="C21" s="200">
        <f t="shared" ref="C21" si="8">C13-SUM(C14:C20)</f>
        <v>265739</v>
      </c>
      <c r="D21" s="200">
        <f t="shared" ref="D21:E21" si="9">D13-SUM(D14:D20)</f>
        <v>279720</v>
      </c>
      <c r="E21" s="200">
        <f t="shared" si="9"/>
        <v>712639</v>
      </c>
      <c r="F21" s="200">
        <f t="shared" ref="F21:H21" si="10">F13-SUM(F14:F20)</f>
        <v>796252</v>
      </c>
      <c r="G21" s="200">
        <f t="shared" si="10"/>
        <v>880184</v>
      </c>
      <c r="H21" s="200">
        <f t="shared" si="10"/>
        <v>893241</v>
      </c>
      <c r="I21" s="213">
        <f t="shared" si="6"/>
        <v>1.483439826218147E-2</v>
      </c>
      <c r="J21" s="201">
        <f t="shared" si="2"/>
        <v>2.1933397683397682</v>
      </c>
      <c r="K21" s="200">
        <f>H21-G21</f>
        <v>13057</v>
      </c>
      <c r="L21" s="200">
        <f t="shared" si="4"/>
        <v>613521</v>
      </c>
      <c r="M21" s="201">
        <f t="shared" si="0"/>
        <v>0.21937299827029433</v>
      </c>
      <c r="P21" s="199" t="s">
        <v>147</v>
      </c>
      <c r="Q21" s="200">
        <f t="shared" ref="Q21:V21" si="11">Q13-SUM(Q14:Q20)</f>
        <v>16971</v>
      </c>
      <c r="R21" s="200">
        <f t="shared" si="11"/>
        <v>17716</v>
      </c>
      <c r="S21" s="200">
        <f t="shared" si="11"/>
        <v>49125</v>
      </c>
      <c r="T21" s="200">
        <f t="shared" si="11"/>
        <v>53245</v>
      </c>
      <c r="U21" s="200">
        <f t="shared" si="11"/>
        <v>57612</v>
      </c>
      <c r="V21" s="200">
        <f t="shared" si="11"/>
        <v>55906</v>
      </c>
      <c r="W21" s="213">
        <f t="shared" si="7"/>
        <v>-2.9611886412552968E-2</v>
      </c>
      <c r="X21" s="199">
        <f>V21-U21</f>
        <v>-1706</v>
      </c>
      <c r="Y21" s="201">
        <f t="shared" si="1"/>
        <v>0.2615693411873693</v>
      </c>
    </row>
    <row r="22" spans="1:25" x14ac:dyDescent="0.25">
      <c r="B22" s="186" t="s">
        <v>46</v>
      </c>
      <c r="C22" s="184"/>
      <c r="D22" s="184"/>
      <c r="E22" s="184"/>
      <c r="F22" s="184"/>
      <c r="G22" s="184"/>
      <c r="H22" s="184"/>
      <c r="I22" s="185"/>
      <c r="J22" s="185"/>
      <c r="K22" s="185"/>
      <c r="L22" s="184"/>
      <c r="M22" s="184"/>
    </row>
    <row r="23" spans="1:25" x14ac:dyDescent="0.25">
      <c r="B23" s="187" t="s">
        <v>70</v>
      </c>
      <c r="C23" s="209">
        <v>434246</v>
      </c>
      <c r="D23" s="209">
        <v>505565</v>
      </c>
      <c r="E23" s="209">
        <v>1298122</v>
      </c>
      <c r="F23" s="209">
        <v>1400057</v>
      </c>
      <c r="G23" s="209">
        <v>1449683</v>
      </c>
      <c r="H23" s="209">
        <v>1380443</v>
      </c>
      <c r="I23" s="210">
        <f>IFERROR(H23/G23-1,"-")</f>
        <v>-4.7762165935587242E-2</v>
      </c>
      <c r="J23" s="210">
        <f>IFERROR(H23/D23-1,"-")</f>
        <v>1.7304955841484282</v>
      </c>
      <c r="K23" s="209">
        <f>H23-G23</f>
        <v>-69240</v>
      </c>
      <c r="L23" s="209">
        <f>H23-D23</f>
        <v>874878</v>
      </c>
      <c r="M23" s="210">
        <f t="shared" ref="M23:M35" si="12">H23/H$9</f>
        <v>0.33902599617711221</v>
      </c>
    </row>
    <row r="24" spans="1:25" x14ac:dyDescent="0.25">
      <c r="B24" s="190" t="s">
        <v>99</v>
      </c>
      <c r="C24" s="191">
        <v>76613</v>
      </c>
      <c r="D24" s="191">
        <v>207995</v>
      </c>
      <c r="E24" s="191">
        <v>171971</v>
      </c>
      <c r="F24" s="191">
        <v>148781</v>
      </c>
      <c r="G24" s="191">
        <v>132009</v>
      </c>
      <c r="H24" s="191">
        <v>120234</v>
      </c>
      <c r="I24" s="211">
        <f>IFERROR(H24/G24-1,"-")</f>
        <v>-8.9198463741108514E-2</v>
      </c>
      <c r="J24" s="192">
        <f t="shared" ref="J24:J35" si="13">IFERROR(H24/D24-1,"-")</f>
        <v>-0.42193802735642683</v>
      </c>
      <c r="K24" s="191">
        <f t="shared" ref="K24:K34" si="14">H24-G24</f>
        <v>-11775</v>
      </c>
      <c r="L24" s="191">
        <f t="shared" ref="L24:L35" si="15">H24-D24</f>
        <v>-87761</v>
      </c>
      <c r="M24" s="192">
        <f t="shared" si="12"/>
        <v>2.9528529337581422E-2</v>
      </c>
    </row>
    <row r="25" spans="1:25" x14ac:dyDescent="0.25">
      <c r="B25" s="194" t="s">
        <v>105</v>
      </c>
      <c r="C25" s="195">
        <v>42842</v>
      </c>
      <c r="D25" s="195">
        <v>110132</v>
      </c>
      <c r="E25" s="195">
        <v>74040</v>
      </c>
      <c r="F25" s="195">
        <v>63391</v>
      </c>
      <c r="G25" s="195">
        <v>50766</v>
      </c>
      <c r="H25" s="195">
        <v>56352</v>
      </c>
      <c r="I25" s="212">
        <f>IFERROR(H25/G25-1,"-")</f>
        <v>0.11003427490840334</v>
      </c>
      <c r="J25" s="196">
        <f t="shared" si="13"/>
        <v>-0.48832310318526861</v>
      </c>
      <c r="K25" s="195">
        <f t="shared" si="14"/>
        <v>5586</v>
      </c>
      <c r="L25" s="195">
        <f t="shared" si="15"/>
        <v>-53780</v>
      </c>
      <c r="M25" s="196">
        <f t="shared" si="12"/>
        <v>1.3839610137160773E-2</v>
      </c>
    </row>
    <row r="26" spans="1:25" x14ac:dyDescent="0.25">
      <c r="B26" s="194" t="s">
        <v>102</v>
      </c>
      <c r="C26" s="195">
        <v>33771</v>
      </c>
      <c r="D26" s="195">
        <v>97863</v>
      </c>
      <c r="E26" s="195">
        <v>97931</v>
      </c>
      <c r="F26" s="195">
        <v>85390</v>
      </c>
      <c r="G26" s="195">
        <v>81243</v>
      </c>
      <c r="H26" s="195">
        <v>63882</v>
      </c>
      <c r="I26" s="212">
        <f>IFERROR(H26/G26-1,"-")</f>
        <v>-0.21369225656364244</v>
      </c>
      <c r="J26" s="196">
        <f t="shared" si="13"/>
        <v>-0.34723031176236163</v>
      </c>
      <c r="K26" s="195">
        <f t="shared" si="14"/>
        <v>-17361</v>
      </c>
      <c r="L26" s="195">
        <f t="shared" si="15"/>
        <v>-33981</v>
      </c>
      <c r="M26" s="196">
        <f t="shared" si="12"/>
        <v>1.5688919200420651E-2</v>
      </c>
    </row>
    <row r="27" spans="1:25" x14ac:dyDescent="0.25">
      <c r="B27" s="190" t="s">
        <v>109</v>
      </c>
      <c r="C27" s="191">
        <v>357633</v>
      </c>
      <c r="D27" s="191">
        <v>297570</v>
      </c>
      <c r="E27" s="191">
        <v>1126151</v>
      </c>
      <c r="F27" s="191">
        <v>1251276</v>
      </c>
      <c r="G27" s="191">
        <v>1317674</v>
      </c>
      <c r="H27" s="191">
        <v>1260209</v>
      </c>
      <c r="I27" s="211">
        <f>IFERROR(H27/G27-1,"-")</f>
        <v>-4.3610938669200405E-2</v>
      </c>
      <c r="J27" s="192">
        <f t="shared" si="13"/>
        <v>3.2350001680276907</v>
      </c>
      <c r="K27" s="191">
        <f t="shared" si="14"/>
        <v>-57465</v>
      </c>
      <c r="L27" s="191">
        <f t="shared" si="15"/>
        <v>962639</v>
      </c>
      <c r="M27" s="192">
        <f t="shared" si="12"/>
        <v>0.30949746683953083</v>
      </c>
    </row>
    <row r="28" spans="1:25" x14ac:dyDescent="0.25">
      <c r="B28" s="194" t="s">
        <v>112</v>
      </c>
      <c r="C28" s="195">
        <v>155761</v>
      </c>
      <c r="D28" s="195">
        <v>69127</v>
      </c>
      <c r="E28" s="195">
        <v>575306</v>
      </c>
      <c r="F28" s="195">
        <v>656025</v>
      </c>
      <c r="G28" s="195">
        <v>697141</v>
      </c>
      <c r="H28" s="195">
        <v>677162</v>
      </c>
      <c r="I28" s="212">
        <f t="shared" ref="I28:I35" si="16">IFERROR(H28/G28-1,"-")</f>
        <v>-2.8658477983650399E-2</v>
      </c>
      <c r="J28" s="196">
        <f t="shared" si="13"/>
        <v>8.7959118723508904</v>
      </c>
      <c r="K28" s="195">
        <f t="shared" si="14"/>
        <v>-19979</v>
      </c>
      <c r="L28" s="195">
        <f t="shared" si="15"/>
        <v>608035</v>
      </c>
      <c r="M28" s="196">
        <f t="shared" si="12"/>
        <v>0.16630568710427426</v>
      </c>
    </row>
    <row r="29" spans="1:25" x14ac:dyDescent="0.25">
      <c r="B29" s="194" t="s">
        <v>115</v>
      </c>
      <c r="C29" s="195">
        <v>45028</v>
      </c>
      <c r="D29" s="195">
        <v>53584</v>
      </c>
      <c r="E29" s="195">
        <v>120904</v>
      </c>
      <c r="F29" s="195">
        <v>131670</v>
      </c>
      <c r="G29" s="195">
        <v>132799</v>
      </c>
      <c r="H29" s="195">
        <v>122821</v>
      </c>
      <c r="I29" s="212">
        <f t="shared" si="16"/>
        <v>-7.5136107952620157E-2</v>
      </c>
      <c r="J29" s="196">
        <f t="shared" si="13"/>
        <v>1.2921207823230816</v>
      </c>
      <c r="K29" s="195">
        <f t="shared" si="14"/>
        <v>-9978</v>
      </c>
      <c r="L29" s="195">
        <f t="shared" si="15"/>
        <v>69237</v>
      </c>
      <c r="M29" s="196">
        <f t="shared" si="12"/>
        <v>3.016387628932821E-2</v>
      </c>
    </row>
    <row r="30" spans="1:25" x14ac:dyDescent="0.25">
      <c r="B30" s="194" t="s">
        <v>118</v>
      </c>
      <c r="C30" s="195">
        <v>15695</v>
      </c>
      <c r="D30" s="195">
        <v>28064</v>
      </c>
      <c r="E30" s="195">
        <v>46955</v>
      </c>
      <c r="F30" s="195">
        <v>49227</v>
      </c>
      <c r="G30" s="195">
        <v>44942</v>
      </c>
      <c r="H30" s="195">
        <v>39385</v>
      </c>
      <c r="I30" s="212">
        <f t="shared" si="16"/>
        <v>-0.12364825775443911</v>
      </c>
      <c r="J30" s="196">
        <f t="shared" si="13"/>
        <v>0.40339937286202954</v>
      </c>
      <c r="K30" s="195">
        <f t="shared" si="14"/>
        <v>-5557</v>
      </c>
      <c r="L30" s="195">
        <f t="shared" si="15"/>
        <v>11321</v>
      </c>
      <c r="M30" s="196">
        <f t="shared" si="12"/>
        <v>9.6726477365856947E-3</v>
      </c>
    </row>
    <row r="31" spans="1:25" x14ac:dyDescent="0.25">
      <c r="B31" s="194" t="s">
        <v>125</v>
      </c>
      <c r="C31" s="195">
        <v>15190</v>
      </c>
      <c r="D31" s="195">
        <v>20429</v>
      </c>
      <c r="E31" s="195">
        <v>60469</v>
      </c>
      <c r="F31" s="195">
        <v>53942</v>
      </c>
      <c r="G31" s="195">
        <v>54097</v>
      </c>
      <c r="H31" s="195">
        <v>50042</v>
      </c>
      <c r="I31" s="212">
        <f t="shared" si="16"/>
        <v>-7.4957945911972912E-2</v>
      </c>
      <c r="J31" s="196">
        <f t="shared" si="13"/>
        <v>1.4495570023006512</v>
      </c>
      <c r="K31" s="195">
        <f t="shared" si="14"/>
        <v>-4055</v>
      </c>
      <c r="L31" s="195">
        <f t="shared" si="15"/>
        <v>29613</v>
      </c>
      <c r="M31" s="196">
        <f t="shared" si="12"/>
        <v>1.2289923525053226E-2</v>
      </c>
    </row>
    <row r="32" spans="1:25" x14ac:dyDescent="0.25">
      <c r="B32" s="194" t="s">
        <v>121</v>
      </c>
      <c r="C32" s="195">
        <v>22314</v>
      </c>
      <c r="D32" s="195">
        <v>25341</v>
      </c>
      <c r="E32" s="195">
        <v>60675</v>
      </c>
      <c r="F32" s="195">
        <v>57569</v>
      </c>
      <c r="G32" s="195">
        <v>59410</v>
      </c>
      <c r="H32" s="195">
        <v>54678</v>
      </c>
      <c r="I32" s="212">
        <f t="shared" si="16"/>
        <v>-7.9649890590809624E-2</v>
      </c>
      <c r="J32" s="196">
        <f t="shared" si="13"/>
        <v>1.1576891203977744</v>
      </c>
      <c r="K32" s="195">
        <f t="shared" si="14"/>
        <v>-4732</v>
      </c>
      <c r="L32" s="195">
        <f t="shared" si="15"/>
        <v>29337</v>
      </c>
      <c r="M32" s="196">
        <f t="shared" si="12"/>
        <v>1.3428488839432083E-2</v>
      </c>
    </row>
    <row r="33" spans="2:13" x14ac:dyDescent="0.25">
      <c r="B33" s="194" t="s">
        <v>130</v>
      </c>
      <c r="C33" s="195">
        <v>11529</v>
      </c>
      <c r="D33" s="195">
        <v>701</v>
      </c>
      <c r="E33" s="195">
        <v>14568</v>
      </c>
      <c r="F33" s="195">
        <v>16963</v>
      </c>
      <c r="G33" s="195">
        <v>16255</v>
      </c>
      <c r="H33" s="195">
        <v>14628</v>
      </c>
      <c r="I33" s="212">
        <f t="shared" si="16"/>
        <v>-0.10009227929867737</v>
      </c>
      <c r="J33" s="196">
        <f t="shared" si="13"/>
        <v>19.867332382310984</v>
      </c>
      <c r="K33" s="195">
        <f t="shared" si="14"/>
        <v>-1627</v>
      </c>
      <c r="L33" s="195">
        <f t="shared" si="15"/>
        <v>13927</v>
      </c>
      <c r="M33" s="196">
        <f t="shared" si="12"/>
        <v>3.5925223077510611E-3</v>
      </c>
    </row>
    <row r="34" spans="2:13" x14ac:dyDescent="0.25">
      <c r="B34" s="194" t="s">
        <v>133</v>
      </c>
      <c r="C34" s="195">
        <v>12846</v>
      </c>
      <c r="D34" s="195">
        <v>535</v>
      </c>
      <c r="E34" s="195">
        <v>8856</v>
      </c>
      <c r="F34" s="195">
        <v>14835</v>
      </c>
      <c r="G34" s="195">
        <v>13973</v>
      </c>
      <c r="H34" s="195">
        <v>11192</v>
      </c>
      <c r="I34" s="212">
        <f t="shared" si="16"/>
        <v>-0.19902669433908249</v>
      </c>
      <c r="J34" s="196">
        <f t="shared" si="13"/>
        <v>19.919626168224298</v>
      </c>
      <c r="K34" s="195">
        <f t="shared" si="14"/>
        <v>-2781</v>
      </c>
      <c r="L34" s="195">
        <f t="shared" si="15"/>
        <v>10657</v>
      </c>
      <c r="M34" s="196">
        <f t="shared" si="12"/>
        <v>2.7486676010630212E-3</v>
      </c>
    </row>
    <row r="35" spans="2:13" x14ac:dyDescent="0.25">
      <c r="B35" s="199" t="s">
        <v>147</v>
      </c>
      <c r="C35" s="200">
        <f t="shared" ref="C35" si="17">C27-SUM(C28:C34)</f>
        <v>79270</v>
      </c>
      <c r="D35" s="200">
        <f t="shared" ref="D35:E35" si="18">D27-SUM(D28:D34)</f>
        <v>99789</v>
      </c>
      <c r="E35" s="200">
        <f t="shared" si="18"/>
        <v>238418</v>
      </c>
      <c r="F35" s="200">
        <f t="shared" ref="F35:H35" si="19">F27-SUM(F28:F34)</f>
        <v>271045</v>
      </c>
      <c r="G35" s="200">
        <f t="shared" si="19"/>
        <v>299057</v>
      </c>
      <c r="H35" s="200">
        <f t="shared" si="19"/>
        <v>290301</v>
      </c>
      <c r="I35" s="213">
        <f t="shared" si="16"/>
        <v>-2.9278699378379347E-2</v>
      </c>
      <c r="J35" s="201">
        <f t="shared" si="13"/>
        <v>1.9091483029191596</v>
      </c>
      <c r="K35" s="200">
        <f>H35-G35</f>
        <v>-8756</v>
      </c>
      <c r="L35" s="200">
        <f t="shared" si="15"/>
        <v>190512</v>
      </c>
      <c r="M35" s="201">
        <f t="shared" si="12"/>
        <v>7.1295653436043258E-2</v>
      </c>
    </row>
    <row r="36" spans="2:13" x14ac:dyDescent="0.25">
      <c r="B36" s="186" t="s">
        <v>47</v>
      </c>
      <c r="C36" s="184"/>
      <c r="D36" s="184"/>
      <c r="E36" s="184"/>
      <c r="F36" s="184"/>
      <c r="G36" s="184"/>
      <c r="H36" s="184"/>
      <c r="I36" s="185"/>
      <c r="J36" s="185"/>
      <c r="K36" s="185"/>
      <c r="L36" s="184"/>
      <c r="M36" s="184"/>
    </row>
    <row r="37" spans="2:13" x14ac:dyDescent="0.25">
      <c r="B37" s="187" t="s">
        <v>70</v>
      </c>
      <c r="C37" s="209">
        <v>298260</v>
      </c>
      <c r="D37" s="209">
        <v>235520</v>
      </c>
      <c r="E37" s="209">
        <v>914043</v>
      </c>
      <c r="F37" s="209">
        <v>974839</v>
      </c>
      <c r="G37" s="209">
        <v>1033377</v>
      </c>
      <c r="H37" s="209">
        <v>1061717</v>
      </c>
      <c r="I37" s="210">
        <f>IFERROR(H37/G37-1,"-")</f>
        <v>2.7424647539087799E-2</v>
      </c>
      <c r="J37" s="210">
        <f>IFERROR(H37/D37-1,"-")</f>
        <v>3.5079695991847828</v>
      </c>
      <c r="K37" s="209">
        <f>H37-G37</f>
        <v>28340</v>
      </c>
      <c r="L37" s="209">
        <f>H37-D37</f>
        <v>826197</v>
      </c>
      <c r="M37" s="210">
        <f t="shared" ref="M37:M49" si="20">H37/H$9</f>
        <v>0.26074938522139274</v>
      </c>
    </row>
    <row r="38" spans="2:13" x14ac:dyDescent="0.25">
      <c r="B38" s="190" t="s">
        <v>99</v>
      </c>
      <c r="C38" s="191">
        <v>34195</v>
      </c>
      <c r="D38" s="191">
        <v>62289</v>
      </c>
      <c r="E38" s="191">
        <v>100475</v>
      </c>
      <c r="F38" s="191">
        <v>94395</v>
      </c>
      <c r="G38" s="191">
        <v>91109</v>
      </c>
      <c r="H38" s="191">
        <v>93244</v>
      </c>
      <c r="I38" s="211">
        <f>IFERROR(H38/G38-1,"-")</f>
        <v>2.3433469799909901E-2</v>
      </c>
      <c r="J38" s="192">
        <f t="shared" ref="J38:J49" si="21">IFERROR(H38/D38-1,"-")</f>
        <v>0.49695772929409676</v>
      </c>
      <c r="K38" s="191">
        <f t="shared" ref="K38:K48" si="22">H38-G38</f>
        <v>2135</v>
      </c>
      <c r="L38" s="191">
        <f t="shared" ref="L38:L49" si="23">H38-D38</f>
        <v>30955</v>
      </c>
      <c r="M38" s="192">
        <f t="shared" si="20"/>
        <v>2.2899996586268793E-2</v>
      </c>
    </row>
    <row r="39" spans="2:13" x14ac:dyDescent="0.25">
      <c r="B39" s="194" t="s">
        <v>105</v>
      </c>
      <c r="C39" s="195">
        <v>16143</v>
      </c>
      <c r="D39" s="195">
        <v>35855</v>
      </c>
      <c r="E39" s="195">
        <v>41441</v>
      </c>
      <c r="F39" s="195">
        <v>42012</v>
      </c>
      <c r="G39" s="195">
        <v>41448</v>
      </c>
      <c r="H39" s="195">
        <v>41263</v>
      </c>
      <c r="I39" s="212">
        <f>IFERROR(H39/G39-1,"-")</f>
        <v>-4.4634240494113575E-3</v>
      </c>
      <c r="J39" s="196">
        <f t="shared" si="21"/>
        <v>0.15082973086041007</v>
      </c>
      <c r="K39" s="195">
        <f t="shared" si="22"/>
        <v>-185</v>
      </c>
      <c r="L39" s="195">
        <f t="shared" si="23"/>
        <v>5408</v>
      </c>
      <c r="M39" s="196">
        <f t="shared" si="20"/>
        <v>1.0133869837621823E-2</v>
      </c>
    </row>
    <row r="40" spans="2:13" x14ac:dyDescent="0.25">
      <c r="B40" s="194" t="s">
        <v>102</v>
      </c>
      <c r="C40" s="195">
        <v>18052</v>
      </c>
      <c r="D40" s="195">
        <v>26434</v>
      </c>
      <c r="E40" s="195">
        <v>59034</v>
      </c>
      <c r="F40" s="195">
        <v>52383</v>
      </c>
      <c r="G40" s="195">
        <v>49661</v>
      </c>
      <c r="H40" s="195">
        <v>51981</v>
      </c>
      <c r="I40" s="212">
        <f>IFERROR(H40/G40-1,"-")</f>
        <v>4.6716739493767756E-2</v>
      </c>
      <c r="J40" s="196">
        <f t="shared" si="21"/>
        <v>0.96644473027161992</v>
      </c>
      <c r="K40" s="195">
        <f t="shared" si="22"/>
        <v>2320</v>
      </c>
      <c r="L40" s="195">
        <f t="shared" si="23"/>
        <v>25547</v>
      </c>
      <c r="M40" s="196">
        <f t="shared" si="20"/>
        <v>1.2766126748646972E-2</v>
      </c>
    </row>
    <row r="41" spans="2:13" x14ac:dyDescent="0.25">
      <c r="B41" s="190" t="s">
        <v>109</v>
      </c>
      <c r="C41" s="191">
        <v>264065</v>
      </c>
      <c r="D41" s="191">
        <v>173231</v>
      </c>
      <c r="E41" s="191">
        <v>813568</v>
      </c>
      <c r="F41" s="191">
        <v>880444</v>
      </c>
      <c r="G41" s="191">
        <v>942268</v>
      </c>
      <c r="H41" s="191">
        <v>968473</v>
      </c>
      <c r="I41" s="211">
        <f>IFERROR(H41/G41-1,"-")</f>
        <v>2.7810559203963248E-2</v>
      </c>
      <c r="J41" s="192">
        <f t="shared" si="21"/>
        <v>4.5906448614855311</v>
      </c>
      <c r="K41" s="191">
        <f t="shared" si="22"/>
        <v>26205</v>
      </c>
      <c r="L41" s="191">
        <f t="shared" si="23"/>
        <v>795242</v>
      </c>
      <c r="M41" s="192">
        <f t="shared" si="20"/>
        <v>0.23784938863512395</v>
      </c>
    </row>
    <row r="42" spans="2:13" x14ac:dyDescent="0.25">
      <c r="B42" s="194" t="s">
        <v>112</v>
      </c>
      <c r="C42" s="195">
        <v>116664</v>
      </c>
      <c r="D42" s="195">
        <v>44854</v>
      </c>
      <c r="E42" s="195">
        <v>427821</v>
      </c>
      <c r="F42" s="195">
        <v>475496</v>
      </c>
      <c r="G42" s="195">
        <v>519143</v>
      </c>
      <c r="H42" s="195">
        <v>525399</v>
      </c>
      <c r="I42" s="212">
        <f t="shared" ref="I42:I49" si="24">IFERROR(H42/G42-1,"-")</f>
        <v>1.2050629595313778E-2</v>
      </c>
      <c r="J42" s="196">
        <f t="shared" si="21"/>
        <v>10.713537254202524</v>
      </c>
      <c r="K42" s="195">
        <f t="shared" si="22"/>
        <v>6256</v>
      </c>
      <c r="L42" s="195">
        <f t="shared" si="23"/>
        <v>480545</v>
      </c>
      <c r="M42" s="196">
        <f t="shared" si="20"/>
        <v>0.12903388214178971</v>
      </c>
    </row>
    <row r="43" spans="2:13" x14ac:dyDescent="0.25">
      <c r="B43" s="194" t="s">
        <v>115</v>
      </c>
      <c r="C43" s="195">
        <v>13074</v>
      </c>
      <c r="D43" s="195">
        <v>9350</v>
      </c>
      <c r="E43" s="195">
        <v>26383</v>
      </c>
      <c r="F43" s="195">
        <v>31553</v>
      </c>
      <c r="G43" s="195">
        <v>30650</v>
      </c>
      <c r="H43" s="195">
        <v>33806</v>
      </c>
      <c r="I43" s="212">
        <f t="shared" si="24"/>
        <v>0.10296900489396421</v>
      </c>
      <c r="J43" s="196">
        <f t="shared" si="21"/>
        <v>2.6156149732620322</v>
      </c>
      <c r="K43" s="195">
        <f t="shared" si="22"/>
        <v>3156</v>
      </c>
      <c r="L43" s="195">
        <f t="shared" si="23"/>
        <v>24456</v>
      </c>
      <c r="M43" s="196">
        <f t="shared" si="20"/>
        <v>8.3024890029964708E-3</v>
      </c>
    </row>
    <row r="44" spans="2:13" x14ac:dyDescent="0.25">
      <c r="B44" s="194" t="s">
        <v>118</v>
      </c>
      <c r="C44" s="195">
        <v>7121</v>
      </c>
      <c r="D44" s="195">
        <v>12684</v>
      </c>
      <c r="E44" s="195">
        <v>19845</v>
      </c>
      <c r="F44" s="195">
        <v>21845</v>
      </c>
      <c r="G44" s="195">
        <v>22025</v>
      </c>
      <c r="H44" s="195">
        <v>23954</v>
      </c>
      <c r="I44" s="212">
        <f t="shared" si="24"/>
        <v>8.7582292849035293E-2</v>
      </c>
      <c r="J44" s="196">
        <f t="shared" si="21"/>
        <v>0.88852097130242824</v>
      </c>
      <c r="K44" s="195">
        <f t="shared" si="22"/>
        <v>1929</v>
      </c>
      <c r="L44" s="195">
        <f t="shared" si="23"/>
        <v>11270</v>
      </c>
      <c r="M44" s="196">
        <f t="shared" si="20"/>
        <v>5.8829149138548611E-3</v>
      </c>
    </row>
    <row r="45" spans="2:13" x14ac:dyDescent="0.25">
      <c r="B45" s="194" t="s">
        <v>125</v>
      </c>
      <c r="C45" s="195">
        <v>12100</v>
      </c>
      <c r="D45" s="195">
        <v>14626</v>
      </c>
      <c r="E45" s="195">
        <v>45250</v>
      </c>
      <c r="F45" s="195">
        <v>41417</v>
      </c>
      <c r="G45" s="195">
        <v>43313</v>
      </c>
      <c r="H45" s="195">
        <v>40169</v>
      </c>
      <c r="I45" s="212">
        <f t="shared" si="24"/>
        <v>-7.2587906633112431E-2</v>
      </c>
      <c r="J45" s="196">
        <f t="shared" si="21"/>
        <v>1.7464105018460274</v>
      </c>
      <c r="K45" s="195">
        <f t="shared" si="22"/>
        <v>-3144</v>
      </c>
      <c r="L45" s="195">
        <f t="shared" si="23"/>
        <v>25543</v>
      </c>
      <c r="M45" s="196">
        <f t="shared" si="20"/>
        <v>9.8651920002770285E-3</v>
      </c>
    </row>
    <row r="46" spans="2:13" x14ac:dyDescent="0.25">
      <c r="B46" s="194" t="s">
        <v>121</v>
      </c>
      <c r="C46" s="195">
        <v>12738</v>
      </c>
      <c r="D46" s="195">
        <v>10105</v>
      </c>
      <c r="E46" s="195">
        <v>27403</v>
      </c>
      <c r="F46" s="195">
        <v>31835</v>
      </c>
      <c r="G46" s="195">
        <v>32875</v>
      </c>
      <c r="H46" s="195">
        <v>29426</v>
      </c>
      <c r="I46" s="212">
        <f t="shared" si="24"/>
        <v>-0.10491254752851709</v>
      </c>
      <c r="J46" s="196">
        <f t="shared" si="21"/>
        <v>1.9120237506185056</v>
      </c>
      <c r="K46" s="195">
        <f t="shared" si="22"/>
        <v>-3449</v>
      </c>
      <c r="L46" s="195">
        <f t="shared" si="23"/>
        <v>19321</v>
      </c>
      <c r="M46" s="196">
        <f t="shared" si="20"/>
        <v>7.2267952849249875E-3</v>
      </c>
    </row>
    <row r="47" spans="2:13" x14ac:dyDescent="0.25">
      <c r="B47" s="194" t="s">
        <v>130</v>
      </c>
      <c r="C47" s="195">
        <v>9604</v>
      </c>
      <c r="D47" s="195">
        <v>2295</v>
      </c>
      <c r="E47" s="195">
        <v>14374</v>
      </c>
      <c r="F47" s="195">
        <v>15738</v>
      </c>
      <c r="G47" s="195">
        <v>14418</v>
      </c>
      <c r="H47" s="195">
        <v>14910</v>
      </c>
      <c r="I47" s="212">
        <f t="shared" si="24"/>
        <v>3.4124011652101549E-2</v>
      </c>
      <c r="J47" s="196">
        <f t="shared" si="21"/>
        <v>5.4967320261437909</v>
      </c>
      <c r="K47" s="195">
        <f t="shared" si="22"/>
        <v>492</v>
      </c>
      <c r="L47" s="195">
        <f t="shared" si="23"/>
        <v>12615</v>
      </c>
      <c r="M47" s="196">
        <f t="shared" si="20"/>
        <v>3.6617793005584028E-3</v>
      </c>
    </row>
    <row r="48" spans="2:13" x14ac:dyDescent="0.25">
      <c r="B48" s="194" t="s">
        <v>133</v>
      </c>
      <c r="C48" s="195">
        <v>15416</v>
      </c>
      <c r="D48" s="195">
        <v>1716</v>
      </c>
      <c r="E48" s="195">
        <v>11770</v>
      </c>
      <c r="F48" s="195">
        <v>15107</v>
      </c>
      <c r="G48" s="195">
        <v>15047</v>
      </c>
      <c r="H48" s="195">
        <v>11860</v>
      </c>
      <c r="I48" s="212">
        <f t="shared" si="24"/>
        <v>-0.21180301721273342</v>
      </c>
      <c r="J48" s="196">
        <f t="shared" si="21"/>
        <v>5.9114219114219111</v>
      </c>
      <c r="K48" s="195">
        <f t="shared" si="22"/>
        <v>-3187</v>
      </c>
      <c r="L48" s="195">
        <f t="shared" si="23"/>
        <v>10144</v>
      </c>
      <c r="M48" s="196">
        <f t="shared" si="20"/>
        <v>2.9127231726775761E-3</v>
      </c>
    </row>
    <row r="49" spans="2:13" x14ac:dyDescent="0.25">
      <c r="B49" s="199" t="s">
        <v>147</v>
      </c>
      <c r="C49" s="200">
        <f t="shared" ref="C49" si="25">C41-SUM(C42:C48)</f>
        <v>77348</v>
      </c>
      <c r="D49" s="200">
        <f t="shared" ref="D49:E49" si="26">D41-SUM(D42:D48)</f>
        <v>77601</v>
      </c>
      <c r="E49" s="200">
        <f t="shared" si="26"/>
        <v>240722</v>
      </c>
      <c r="F49" s="200">
        <f t="shared" ref="F49:H49" si="27">F41-SUM(F42:F48)</f>
        <v>247453</v>
      </c>
      <c r="G49" s="200">
        <f t="shared" si="27"/>
        <v>264797</v>
      </c>
      <c r="H49" s="200">
        <f t="shared" si="27"/>
        <v>288949</v>
      </c>
      <c r="I49" s="213">
        <f t="shared" si="24"/>
        <v>9.1209492554674032E-2</v>
      </c>
      <c r="J49" s="201">
        <f t="shared" si="21"/>
        <v>2.7235216041030399</v>
      </c>
      <c r="K49" s="200">
        <f>H49-G49</f>
        <v>24152</v>
      </c>
      <c r="L49" s="200">
        <f t="shared" si="23"/>
        <v>211348</v>
      </c>
      <c r="M49" s="201">
        <f t="shared" si="20"/>
        <v>7.0963612818044933E-2</v>
      </c>
    </row>
    <row r="50" spans="2:13" x14ac:dyDescent="0.25">
      <c r="B50" s="186" t="s">
        <v>48</v>
      </c>
      <c r="C50" s="184"/>
      <c r="D50" s="184"/>
      <c r="E50" s="184"/>
      <c r="F50" s="184"/>
      <c r="G50" s="184"/>
      <c r="H50" s="184"/>
      <c r="I50" s="185"/>
      <c r="J50" s="185"/>
      <c r="K50" s="185"/>
      <c r="L50" s="184"/>
      <c r="M50" s="184"/>
    </row>
    <row r="51" spans="2:13" x14ac:dyDescent="0.25">
      <c r="B51" s="187" t="s">
        <v>70</v>
      </c>
      <c r="C51" s="209">
        <v>11345</v>
      </c>
      <c r="D51" s="209">
        <v>11501</v>
      </c>
      <c r="E51" s="209">
        <v>25651</v>
      </c>
      <c r="F51" s="209">
        <v>37060</v>
      </c>
      <c r="G51" s="209">
        <v>32035</v>
      </c>
      <c r="H51" s="209">
        <v>31967</v>
      </c>
      <c r="I51" s="210">
        <f>IFERROR(H51/G51-1,"-")</f>
        <v>-2.1226783205868793E-3</v>
      </c>
      <c r="J51" s="210">
        <f>IFERROR(H51/D51-1,"-")</f>
        <v>1.7794974350056516</v>
      </c>
      <c r="K51" s="209">
        <f>H51-G51</f>
        <v>-68</v>
      </c>
      <c r="L51" s="209">
        <f>H51-D51</f>
        <v>20466</v>
      </c>
      <c r="M51" s="210">
        <f t="shared" ref="M51:M63" si="28">H51/H$9</f>
        <v>7.8508449967102933E-3</v>
      </c>
    </row>
    <row r="52" spans="2:13" x14ac:dyDescent="0.25">
      <c r="B52" s="190" t="s">
        <v>99</v>
      </c>
      <c r="C52" s="191">
        <v>2129</v>
      </c>
      <c r="D52" s="191">
        <v>3943</v>
      </c>
      <c r="E52" s="191">
        <v>4228</v>
      </c>
      <c r="F52" s="191">
        <v>16405</v>
      </c>
      <c r="G52" s="191">
        <v>8742</v>
      </c>
      <c r="H52" s="191">
        <v>7080</v>
      </c>
      <c r="I52" s="211">
        <f>IFERROR(H52/G52-1,"-")</f>
        <v>-0.19011667810569666</v>
      </c>
      <c r="J52" s="192">
        <f t="shared" ref="J52:J63" si="29">IFERROR(H52/D52-1,"-")</f>
        <v>0.79558711640882573</v>
      </c>
      <c r="K52" s="191">
        <f t="shared" ref="K52:K62" si="30">H52-G52</f>
        <v>-1662</v>
      </c>
      <c r="L52" s="191">
        <f t="shared" ref="L52:L63" si="31">H52-D52</f>
        <v>3137</v>
      </c>
      <c r="M52" s="192">
        <f t="shared" si="28"/>
        <v>1.738792585375821E-3</v>
      </c>
    </row>
    <row r="53" spans="2:13" x14ac:dyDescent="0.25">
      <c r="B53" s="194" t="s">
        <v>105</v>
      </c>
      <c r="C53" s="195">
        <v>1503</v>
      </c>
      <c r="D53" s="195">
        <v>1994</v>
      </c>
      <c r="E53" s="195">
        <v>2187</v>
      </c>
      <c r="F53" s="195">
        <v>12282</v>
      </c>
      <c r="G53" s="195">
        <v>5931</v>
      </c>
      <c r="H53" s="195">
        <v>4155</v>
      </c>
      <c r="I53" s="212">
        <f>IFERROR(H53/G53-1,"-")</f>
        <v>-0.29944360141628734</v>
      </c>
      <c r="J53" s="196">
        <f t="shared" si="29"/>
        <v>1.0837512537612839</v>
      </c>
      <c r="K53" s="195">
        <f t="shared" si="30"/>
        <v>-1776</v>
      </c>
      <c r="L53" s="195">
        <f t="shared" si="31"/>
        <v>2161</v>
      </c>
      <c r="M53" s="196">
        <f t="shared" si="28"/>
        <v>1.0204354791294543E-3</v>
      </c>
    </row>
    <row r="54" spans="2:13" x14ac:dyDescent="0.25">
      <c r="B54" s="194" t="s">
        <v>102</v>
      </c>
      <c r="C54" s="195">
        <v>626</v>
      </c>
      <c r="D54" s="195">
        <v>1949</v>
      </c>
      <c r="E54" s="195">
        <v>2041</v>
      </c>
      <c r="F54" s="195">
        <v>4123</v>
      </c>
      <c r="G54" s="195">
        <v>2811</v>
      </c>
      <c r="H54" s="195">
        <v>2925</v>
      </c>
      <c r="I54" s="212">
        <f>IFERROR(H54/G54-1,"-")</f>
        <v>4.0554962646744963E-2</v>
      </c>
      <c r="J54" s="196">
        <f t="shared" si="29"/>
        <v>0.50076962544894821</v>
      </c>
      <c r="K54" s="195">
        <f t="shared" si="30"/>
        <v>114</v>
      </c>
      <c r="L54" s="195">
        <f t="shared" si="31"/>
        <v>976</v>
      </c>
      <c r="M54" s="196">
        <f t="shared" si="28"/>
        <v>7.1835710624636672E-4</v>
      </c>
    </row>
    <row r="55" spans="2:13" x14ac:dyDescent="0.25">
      <c r="B55" s="190" t="s">
        <v>109</v>
      </c>
      <c r="C55" s="191">
        <v>9216</v>
      </c>
      <c r="D55" s="191">
        <v>7558</v>
      </c>
      <c r="E55" s="191">
        <v>21423</v>
      </c>
      <c r="F55" s="191">
        <v>20655</v>
      </c>
      <c r="G55" s="191">
        <v>23293</v>
      </c>
      <c r="H55" s="191">
        <v>24887</v>
      </c>
      <c r="I55" s="211">
        <f>IFERROR(H55/G55-1,"-")</f>
        <v>6.8432576310479609E-2</v>
      </c>
      <c r="J55" s="192">
        <f t="shared" si="29"/>
        <v>2.2928023286583752</v>
      </c>
      <c r="K55" s="191">
        <f t="shared" si="30"/>
        <v>1594</v>
      </c>
      <c r="L55" s="191">
        <f t="shared" si="31"/>
        <v>17329</v>
      </c>
      <c r="M55" s="192">
        <f t="shared" si="28"/>
        <v>6.1120524113344715E-3</v>
      </c>
    </row>
    <row r="56" spans="2:13" x14ac:dyDescent="0.25">
      <c r="B56" s="194" t="s">
        <v>112</v>
      </c>
      <c r="C56" s="195">
        <v>2934</v>
      </c>
      <c r="D56" s="195">
        <v>1039</v>
      </c>
      <c r="E56" s="195">
        <v>7632</v>
      </c>
      <c r="F56" s="195">
        <v>6681</v>
      </c>
      <c r="G56" s="195">
        <v>8218</v>
      </c>
      <c r="H56" s="195">
        <v>8975</v>
      </c>
      <c r="I56" s="212">
        <f t="shared" ref="I56:I63" si="32">IFERROR(H56/G56-1,"-")</f>
        <v>9.2114869798004317E-2</v>
      </c>
      <c r="J56" s="196">
        <f t="shared" si="29"/>
        <v>7.6381135707410976</v>
      </c>
      <c r="K56" s="195">
        <f t="shared" si="30"/>
        <v>757</v>
      </c>
      <c r="L56" s="195">
        <f t="shared" si="31"/>
        <v>7936</v>
      </c>
      <c r="M56" s="196">
        <f t="shared" si="28"/>
        <v>2.2041897533542367E-3</v>
      </c>
    </row>
    <row r="57" spans="2:13" x14ac:dyDescent="0.25">
      <c r="B57" s="194" t="s">
        <v>115</v>
      </c>
      <c r="C57" s="195">
        <v>2321</v>
      </c>
      <c r="D57" s="195">
        <v>2433</v>
      </c>
      <c r="E57" s="195">
        <v>4682</v>
      </c>
      <c r="F57" s="195">
        <v>3567</v>
      </c>
      <c r="G57" s="195">
        <v>4513</v>
      </c>
      <c r="H57" s="195">
        <v>4725</v>
      </c>
      <c r="I57" s="212">
        <f t="shared" si="32"/>
        <v>4.6975404387325614E-2</v>
      </c>
      <c r="J57" s="196">
        <f t="shared" si="29"/>
        <v>0.94204685573366209</v>
      </c>
      <c r="K57" s="195">
        <f t="shared" si="30"/>
        <v>212</v>
      </c>
      <c r="L57" s="195">
        <f t="shared" si="31"/>
        <v>2292</v>
      </c>
      <c r="M57" s="196">
        <f t="shared" si="28"/>
        <v>1.1604230177825925E-3</v>
      </c>
    </row>
    <row r="58" spans="2:13" x14ac:dyDescent="0.25">
      <c r="B58" s="194" t="s">
        <v>118</v>
      </c>
      <c r="C58" s="195">
        <v>496</v>
      </c>
      <c r="D58" s="195">
        <v>1034</v>
      </c>
      <c r="E58" s="195">
        <v>1821</v>
      </c>
      <c r="F58" s="195">
        <v>2104</v>
      </c>
      <c r="G58" s="195">
        <v>1721</v>
      </c>
      <c r="H58" s="195">
        <v>1953</v>
      </c>
      <c r="I58" s="212">
        <f t="shared" si="32"/>
        <v>0.13480534572922709</v>
      </c>
      <c r="J58" s="196">
        <f t="shared" si="29"/>
        <v>0.88878143133462273</v>
      </c>
      <c r="K58" s="195">
        <f t="shared" si="30"/>
        <v>232</v>
      </c>
      <c r="L58" s="195">
        <f t="shared" si="31"/>
        <v>919</v>
      </c>
      <c r="M58" s="196">
        <f t="shared" si="28"/>
        <v>4.7964151401680487E-4</v>
      </c>
    </row>
    <row r="59" spans="2:13" x14ac:dyDescent="0.25">
      <c r="B59" s="194" t="s">
        <v>125</v>
      </c>
      <c r="C59" s="195">
        <v>243</v>
      </c>
      <c r="D59" s="195">
        <v>196</v>
      </c>
      <c r="E59" s="195">
        <v>605</v>
      </c>
      <c r="F59" s="195">
        <v>461</v>
      </c>
      <c r="G59" s="195">
        <v>771</v>
      </c>
      <c r="H59" s="195">
        <v>776</v>
      </c>
      <c r="I59" s="212">
        <f t="shared" si="32"/>
        <v>6.4850843060959562E-3</v>
      </c>
      <c r="J59" s="196">
        <f t="shared" si="29"/>
        <v>2.9591836734693877</v>
      </c>
      <c r="K59" s="195">
        <f t="shared" si="30"/>
        <v>5</v>
      </c>
      <c r="L59" s="195">
        <f t="shared" si="31"/>
        <v>580</v>
      </c>
      <c r="M59" s="196">
        <f t="shared" si="28"/>
        <v>1.9057952630672842E-4</v>
      </c>
    </row>
    <row r="60" spans="2:13" x14ac:dyDescent="0.25">
      <c r="B60" s="194" t="s">
        <v>121</v>
      </c>
      <c r="C60" s="195">
        <v>213</v>
      </c>
      <c r="D60" s="195">
        <v>219</v>
      </c>
      <c r="E60" s="195">
        <v>538</v>
      </c>
      <c r="F60" s="195">
        <v>473</v>
      </c>
      <c r="G60" s="195">
        <v>506</v>
      </c>
      <c r="H60" s="195">
        <v>623</v>
      </c>
      <c r="I60" s="212">
        <f t="shared" si="32"/>
        <v>0.23122529644268774</v>
      </c>
      <c r="J60" s="196">
        <f t="shared" si="29"/>
        <v>1.8447488584474887</v>
      </c>
      <c r="K60" s="195">
        <f t="shared" si="30"/>
        <v>117</v>
      </c>
      <c r="L60" s="195">
        <f t="shared" si="31"/>
        <v>404</v>
      </c>
      <c r="M60" s="196">
        <f t="shared" si="28"/>
        <v>1.5300392382614923E-4</v>
      </c>
    </row>
    <row r="61" spans="2:13" x14ac:dyDescent="0.25">
      <c r="B61" s="194" t="s">
        <v>130</v>
      </c>
      <c r="C61" s="195">
        <v>136</v>
      </c>
      <c r="D61" s="195">
        <v>42</v>
      </c>
      <c r="E61" s="195">
        <v>62</v>
      </c>
      <c r="F61" s="195">
        <v>167</v>
      </c>
      <c r="G61" s="195">
        <v>96</v>
      </c>
      <c r="H61" s="195">
        <v>176</v>
      </c>
      <c r="I61" s="212">
        <f t="shared" si="32"/>
        <v>0.83333333333333326</v>
      </c>
      <c r="J61" s="196">
        <f t="shared" si="29"/>
        <v>3.1904761904761907</v>
      </c>
      <c r="K61" s="195">
        <f t="shared" si="30"/>
        <v>80</v>
      </c>
      <c r="L61" s="195">
        <f t="shared" si="31"/>
        <v>134</v>
      </c>
      <c r="M61" s="196">
        <f t="shared" si="28"/>
        <v>4.3224222461319844E-5</v>
      </c>
    </row>
    <row r="62" spans="2:13" x14ac:dyDescent="0.25">
      <c r="B62" s="194" t="s">
        <v>133</v>
      </c>
      <c r="C62" s="195">
        <v>201</v>
      </c>
      <c r="D62" s="195">
        <v>23</v>
      </c>
      <c r="E62" s="195">
        <v>97</v>
      </c>
      <c r="F62" s="195">
        <v>140</v>
      </c>
      <c r="G62" s="195">
        <v>92</v>
      </c>
      <c r="H62" s="195">
        <v>420</v>
      </c>
      <c r="I62" s="212">
        <f t="shared" si="32"/>
        <v>3.5652173913043477</v>
      </c>
      <c r="J62" s="196">
        <f t="shared" si="29"/>
        <v>17.260869565217391</v>
      </c>
      <c r="K62" s="195">
        <f t="shared" si="30"/>
        <v>328</v>
      </c>
      <c r="L62" s="195">
        <f t="shared" si="31"/>
        <v>397</v>
      </c>
      <c r="M62" s="196">
        <f t="shared" si="28"/>
        <v>1.0314871269178599E-4</v>
      </c>
    </row>
    <row r="63" spans="2:13" x14ac:dyDescent="0.25">
      <c r="B63" s="199" t="s">
        <v>147</v>
      </c>
      <c r="C63" s="200">
        <f t="shared" ref="C63" si="33">C55-SUM(C56:C62)</f>
        <v>2672</v>
      </c>
      <c r="D63" s="200">
        <f t="shared" ref="D63:E63" si="34">D55-SUM(D56:D62)</f>
        <v>2572</v>
      </c>
      <c r="E63" s="200">
        <f t="shared" si="34"/>
        <v>5986</v>
      </c>
      <c r="F63" s="200">
        <f t="shared" ref="F63:H63" si="35">F55-SUM(F56:F62)</f>
        <v>7062</v>
      </c>
      <c r="G63" s="200">
        <f t="shared" si="35"/>
        <v>7376</v>
      </c>
      <c r="H63" s="200">
        <f t="shared" si="35"/>
        <v>7239</v>
      </c>
      <c r="I63" s="213">
        <f t="shared" si="32"/>
        <v>-1.8573752711496749E-2</v>
      </c>
      <c r="J63" s="201">
        <f t="shared" si="29"/>
        <v>1.8145412130637637</v>
      </c>
      <c r="K63" s="200">
        <f>H63-G63</f>
        <v>-137</v>
      </c>
      <c r="L63" s="200">
        <f t="shared" si="31"/>
        <v>4667</v>
      </c>
      <c r="M63" s="201">
        <f t="shared" si="28"/>
        <v>1.7778417408948544E-3</v>
      </c>
    </row>
    <row r="64" spans="2:13" x14ac:dyDescent="0.25">
      <c r="B64" s="186" t="s">
        <v>49</v>
      </c>
      <c r="C64" s="184"/>
      <c r="D64" s="184"/>
      <c r="E64" s="184"/>
      <c r="F64" s="184"/>
      <c r="G64" s="184"/>
      <c r="H64" s="184"/>
      <c r="I64" s="185"/>
      <c r="J64" s="185"/>
      <c r="K64" s="185"/>
      <c r="L64" s="184"/>
      <c r="M64" s="184"/>
    </row>
    <row r="65" spans="2:13" x14ac:dyDescent="0.25">
      <c r="B65" s="187" t="s">
        <v>70</v>
      </c>
      <c r="C65" s="209">
        <v>36944</v>
      </c>
      <c r="D65" s="209">
        <v>34184</v>
      </c>
      <c r="E65" s="209">
        <v>117560</v>
      </c>
      <c r="F65" s="209">
        <v>137595</v>
      </c>
      <c r="G65" s="209">
        <v>175857</v>
      </c>
      <c r="H65" s="209">
        <v>141765</v>
      </c>
      <c r="I65" s="210">
        <f>IFERROR(H65/G65-1,"-")</f>
        <v>-0.19386205837697679</v>
      </c>
      <c r="J65" s="210">
        <f>IFERROR(H65/D65-1,"-")</f>
        <v>3.1471156096419381</v>
      </c>
      <c r="K65" s="209">
        <f>H65-G65</f>
        <v>-34092</v>
      </c>
      <c r="L65" s="209">
        <f>H65-D65</f>
        <v>107581</v>
      </c>
      <c r="M65" s="210">
        <f t="shared" ref="M65:M77" si="36">H65/H$9</f>
        <v>3.4816374416073909E-2</v>
      </c>
    </row>
    <row r="66" spans="2:13" x14ac:dyDescent="0.25">
      <c r="B66" s="190" t="s">
        <v>99</v>
      </c>
      <c r="C66" s="191">
        <v>16922</v>
      </c>
      <c r="D66" s="191">
        <v>19322</v>
      </c>
      <c r="E66" s="191">
        <v>29432</v>
      </c>
      <c r="F66" s="191">
        <v>39183</v>
      </c>
      <c r="G66" s="191">
        <v>48762</v>
      </c>
      <c r="H66" s="191">
        <v>33672</v>
      </c>
      <c r="I66" s="211">
        <f>IFERROR(H66/G66-1,"-")</f>
        <v>-0.3094622862064722</v>
      </c>
      <c r="J66" s="192">
        <f t="shared" ref="J66:J77" si="37">IFERROR(H66/D66-1,"-")</f>
        <v>0.742676741538143</v>
      </c>
      <c r="K66" s="191">
        <f t="shared" ref="K66:K76" si="38">H66-G66</f>
        <v>-15090</v>
      </c>
      <c r="L66" s="191">
        <f t="shared" ref="L66:L77" si="39">H66-D66</f>
        <v>14350</v>
      </c>
      <c r="M66" s="192">
        <f t="shared" si="36"/>
        <v>8.2695796518043284E-3</v>
      </c>
    </row>
    <row r="67" spans="2:13" x14ac:dyDescent="0.25">
      <c r="B67" s="194" t="s">
        <v>105</v>
      </c>
      <c r="C67" s="195">
        <v>6072</v>
      </c>
      <c r="D67" s="195">
        <v>16748</v>
      </c>
      <c r="E67" s="195">
        <v>22757</v>
      </c>
      <c r="F67" s="195">
        <v>28471</v>
      </c>
      <c r="G67" s="195">
        <v>30835</v>
      </c>
      <c r="H67" s="195">
        <v>12390</v>
      </c>
      <c r="I67" s="212">
        <f>IFERROR(H67/G67-1,"-")</f>
        <v>-0.59818388195232686</v>
      </c>
      <c r="J67" s="196">
        <f t="shared" si="37"/>
        <v>-0.26021017434917604</v>
      </c>
      <c r="K67" s="195">
        <f t="shared" si="38"/>
        <v>-18445</v>
      </c>
      <c r="L67" s="195">
        <f t="shared" si="39"/>
        <v>-4358</v>
      </c>
      <c r="M67" s="196">
        <f t="shared" si="36"/>
        <v>3.042887024407687E-3</v>
      </c>
    </row>
    <row r="68" spans="2:13" x14ac:dyDescent="0.25">
      <c r="B68" s="194" t="s">
        <v>102</v>
      </c>
      <c r="C68" s="195">
        <v>10850</v>
      </c>
      <c r="D68" s="195">
        <v>2574</v>
      </c>
      <c r="E68" s="195">
        <v>6675</v>
      </c>
      <c r="F68" s="195">
        <v>10712</v>
      </c>
      <c r="G68" s="195">
        <v>17927</v>
      </c>
      <c r="H68" s="195">
        <v>21282</v>
      </c>
      <c r="I68" s="212">
        <f>IFERROR(H68/G68-1,"-")</f>
        <v>0.18714787750320738</v>
      </c>
      <c r="J68" s="196">
        <f t="shared" si="37"/>
        <v>7.2680652680652678</v>
      </c>
      <c r="K68" s="195">
        <f t="shared" si="38"/>
        <v>3355</v>
      </c>
      <c r="L68" s="195">
        <f t="shared" si="39"/>
        <v>18708</v>
      </c>
      <c r="M68" s="196">
        <f t="shared" si="36"/>
        <v>5.2266926273966422E-3</v>
      </c>
    </row>
    <row r="69" spans="2:13" x14ac:dyDescent="0.25">
      <c r="B69" s="190" t="s">
        <v>109</v>
      </c>
      <c r="C69" s="191">
        <v>20022</v>
      </c>
      <c r="D69" s="191">
        <v>14862</v>
      </c>
      <c r="E69" s="191">
        <v>88128</v>
      </c>
      <c r="F69" s="191">
        <v>98412</v>
      </c>
      <c r="G69" s="191">
        <v>127095</v>
      </c>
      <c r="H69" s="191">
        <v>108093</v>
      </c>
      <c r="I69" s="211">
        <f>IFERROR(H69/G69-1,"-")</f>
        <v>-0.14951020889885513</v>
      </c>
      <c r="J69" s="192">
        <f t="shared" si="37"/>
        <v>6.2731126362535328</v>
      </c>
      <c r="K69" s="191">
        <f t="shared" si="38"/>
        <v>-19002</v>
      </c>
      <c r="L69" s="191">
        <f t="shared" si="39"/>
        <v>93231</v>
      </c>
      <c r="M69" s="192">
        <f t="shared" si="36"/>
        <v>2.654679476426958E-2</v>
      </c>
    </row>
    <row r="70" spans="2:13" x14ac:dyDescent="0.25">
      <c r="B70" s="194" t="s">
        <v>112</v>
      </c>
      <c r="C70" s="195">
        <v>7595</v>
      </c>
      <c r="D70" s="195">
        <v>2691</v>
      </c>
      <c r="E70" s="195">
        <v>41445</v>
      </c>
      <c r="F70" s="195">
        <v>37332</v>
      </c>
      <c r="G70" s="195">
        <v>55893</v>
      </c>
      <c r="H70" s="195">
        <v>56019</v>
      </c>
      <c r="I70" s="212">
        <f t="shared" ref="I70:I77" si="40">IFERROR(H70/G70-1,"-")</f>
        <v>2.2543073372336409E-3</v>
      </c>
      <c r="J70" s="196">
        <f t="shared" si="37"/>
        <v>19.817168338907468</v>
      </c>
      <c r="K70" s="195">
        <f t="shared" si="38"/>
        <v>126</v>
      </c>
      <c r="L70" s="195">
        <f t="shared" si="39"/>
        <v>53328</v>
      </c>
      <c r="M70" s="196">
        <f t="shared" si="36"/>
        <v>1.3757827943526571E-2</v>
      </c>
    </row>
    <row r="71" spans="2:13" x14ac:dyDescent="0.25">
      <c r="B71" s="194" t="s">
        <v>115</v>
      </c>
      <c r="C71" s="195">
        <v>2405</v>
      </c>
      <c r="D71" s="195">
        <v>1830</v>
      </c>
      <c r="E71" s="195">
        <v>6009</v>
      </c>
      <c r="F71" s="195">
        <v>7116</v>
      </c>
      <c r="G71" s="195">
        <v>7077</v>
      </c>
      <c r="H71" s="195">
        <v>7410</v>
      </c>
      <c r="I71" s="212">
        <f t="shared" si="40"/>
        <v>4.7053836371343749E-2</v>
      </c>
      <c r="J71" s="196">
        <f t="shared" si="37"/>
        <v>3.0491803278688527</v>
      </c>
      <c r="K71" s="195">
        <f t="shared" si="38"/>
        <v>333</v>
      </c>
      <c r="L71" s="195">
        <f t="shared" si="39"/>
        <v>5580</v>
      </c>
      <c r="M71" s="196">
        <f t="shared" si="36"/>
        <v>1.8198380024907958E-3</v>
      </c>
    </row>
    <row r="72" spans="2:13" x14ac:dyDescent="0.25">
      <c r="B72" s="194" t="s">
        <v>118</v>
      </c>
      <c r="C72" s="195">
        <v>2628</v>
      </c>
      <c r="D72" s="195">
        <v>2709</v>
      </c>
      <c r="E72" s="195">
        <v>11317</v>
      </c>
      <c r="F72" s="195">
        <v>10860</v>
      </c>
      <c r="G72" s="195">
        <v>13883</v>
      </c>
      <c r="H72" s="195">
        <v>7650</v>
      </c>
      <c r="I72" s="212">
        <f t="shared" si="40"/>
        <v>-0.4489663617373767</v>
      </c>
      <c r="J72" s="196">
        <f t="shared" si="37"/>
        <v>1.823920265780731</v>
      </c>
      <c r="K72" s="195">
        <f t="shared" si="38"/>
        <v>-6233</v>
      </c>
      <c r="L72" s="195">
        <f t="shared" si="39"/>
        <v>4941</v>
      </c>
      <c r="M72" s="196">
        <f t="shared" si="36"/>
        <v>1.8787801240289592E-3</v>
      </c>
    </row>
    <row r="73" spans="2:13" x14ac:dyDescent="0.25">
      <c r="B73" s="194" t="s">
        <v>125</v>
      </c>
      <c r="C73" s="195">
        <v>266</v>
      </c>
      <c r="D73" s="195">
        <v>977</v>
      </c>
      <c r="E73" s="195">
        <v>2222</v>
      </c>
      <c r="F73" s="195">
        <v>2870</v>
      </c>
      <c r="G73" s="195">
        <v>4717</v>
      </c>
      <c r="H73" s="195">
        <v>4245</v>
      </c>
      <c r="I73" s="212">
        <f t="shared" si="40"/>
        <v>-0.10006359974560097</v>
      </c>
      <c r="J73" s="196">
        <f t="shared" si="37"/>
        <v>3.3449334698055271</v>
      </c>
      <c r="K73" s="195">
        <f t="shared" si="38"/>
        <v>-472</v>
      </c>
      <c r="L73" s="195">
        <f t="shared" si="39"/>
        <v>3268</v>
      </c>
      <c r="M73" s="196">
        <f t="shared" si="36"/>
        <v>1.0425387747062657E-3</v>
      </c>
    </row>
    <row r="74" spans="2:13" x14ac:dyDescent="0.25">
      <c r="B74" s="194" t="s">
        <v>121</v>
      </c>
      <c r="C74" s="195">
        <v>761</v>
      </c>
      <c r="D74" s="195">
        <v>791</v>
      </c>
      <c r="E74" s="195">
        <v>2436</v>
      </c>
      <c r="F74" s="195">
        <v>2203</v>
      </c>
      <c r="G74" s="195">
        <v>3141</v>
      </c>
      <c r="H74" s="195">
        <v>2085</v>
      </c>
      <c r="I74" s="212">
        <f t="shared" si="40"/>
        <v>-0.33619866284622735</v>
      </c>
      <c r="J74" s="196">
        <f t="shared" si="37"/>
        <v>1.6359039190897597</v>
      </c>
      <c r="K74" s="195">
        <f t="shared" si="38"/>
        <v>-1056</v>
      </c>
      <c r="L74" s="195">
        <f t="shared" si="39"/>
        <v>1294</v>
      </c>
      <c r="M74" s="196">
        <f t="shared" si="36"/>
        <v>5.1205968086279478E-4</v>
      </c>
    </row>
    <row r="75" spans="2:13" x14ac:dyDescent="0.25">
      <c r="B75" s="194" t="s">
        <v>130</v>
      </c>
      <c r="C75" s="195">
        <v>664</v>
      </c>
      <c r="D75" s="195">
        <v>23</v>
      </c>
      <c r="E75" s="195">
        <v>1064</v>
      </c>
      <c r="F75" s="195">
        <v>3236</v>
      </c>
      <c r="G75" s="195">
        <v>2249</v>
      </c>
      <c r="H75" s="195">
        <v>1608</v>
      </c>
      <c r="I75" s="212">
        <f t="shared" si="40"/>
        <v>-0.28501556247220983</v>
      </c>
      <c r="J75" s="196">
        <f t="shared" si="37"/>
        <v>68.913043478260875</v>
      </c>
      <c r="K75" s="195">
        <f t="shared" si="38"/>
        <v>-641</v>
      </c>
      <c r="L75" s="195">
        <f t="shared" si="39"/>
        <v>1585</v>
      </c>
      <c r="M75" s="196">
        <f t="shared" si="36"/>
        <v>3.9491221430569496E-4</v>
      </c>
    </row>
    <row r="76" spans="2:13" x14ac:dyDescent="0.25">
      <c r="B76" s="194" t="s">
        <v>133</v>
      </c>
      <c r="C76" s="195">
        <v>797</v>
      </c>
      <c r="D76" s="195">
        <v>7</v>
      </c>
      <c r="E76" s="195">
        <v>444</v>
      </c>
      <c r="F76" s="195">
        <v>975</v>
      </c>
      <c r="G76" s="195">
        <v>1688</v>
      </c>
      <c r="H76" s="195">
        <v>1959</v>
      </c>
      <c r="I76" s="212">
        <f t="shared" si="40"/>
        <v>0.16054502369668255</v>
      </c>
      <c r="J76" s="196">
        <f t="shared" si="37"/>
        <v>278.85714285714283</v>
      </c>
      <c r="K76" s="195">
        <f t="shared" si="38"/>
        <v>271</v>
      </c>
      <c r="L76" s="195">
        <f t="shared" si="39"/>
        <v>1952</v>
      </c>
      <c r="M76" s="196">
        <f t="shared" si="36"/>
        <v>4.8111506705525897E-4</v>
      </c>
    </row>
    <row r="77" spans="2:13" x14ac:dyDescent="0.25">
      <c r="B77" s="199" t="s">
        <v>147</v>
      </c>
      <c r="C77" s="200">
        <f t="shared" ref="C77" si="41">C69-SUM(C70:C76)</f>
        <v>4906</v>
      </c>
      <c r="D77" s="200">
        <f t="shared" ref="D77:E77" si="42">D69-SUM(D70:D76)</f>
        <v>5834</v>
      </c>
      <c r="E77" s="200">
        <f t="shared" si="42"/>
        <v>23191</v>
      </c>
      <c r="F77" s="200">
        <f t="shared" ref="F77:H77" si="43">F69-SUM(F70:F76)</f>
        <v>33820</v>
      </c>
      <c r="G77" s="200">
        <f t="shared" si="43"/>
        <v>38447</v>
      </c>
      <c r="H77" s="200">
        <f t="shared" si="43"/>
        <v>27117</v>
      </c>
      <c r="I77" s="213">
        <f t="shared" si="40"/>
        <v>-0.29469139334668504</v>
      </c>
      <c r="J77" s="201">
        <f t="shared" si="37"/>
        <v>3.64809736030168</v>
      </c>
      <c r="K77" s="200">
        <f>H77-G77</f>
        <v>-11330</v>
      </c>
      <c r="L77" s="200">
        <f t="shared" si="39"/>
        <v>21283</v>
      </c>
      <c r="M77" s="201">
        <f t="shared" si="36"/>
        <v>6.6597229572932402E-3</v>
      </c>
    </row>
    <row r="78" spans="2:13" x14ac:dyDescent="0.25">
      <c r="B78" s="186" t="s">
        <v>50</v>
      </c>
      <c r="C78" s="184"/>
      <c r="D78" s="184"/>
      <c r="E78" s="184"/>
      <c r="F78" s="184"/>
      <c r="G78" s="184"/>
      <c r="H78" s="184"/>
      <c r="I78" s="185"/>
      <c r="J78" s="185"/>
      <c r="K78" s="185"/>
      <c r="L78" s="184"/>
      <c r="M78" s="184"/>
    </row>
    <row r="79" spans="2:13" x14ac:dyDescent="0.25">
      <c r="B79" s="187" t="s">
        <v>70</v>
      </c>
      <c r="C79" s="209">
        <v>181508</v>
      </c>
      <c r="D79" s="209">
        <v>210211</v>
      </c>
      <c r="E79" s="209">
        <v>523202</v>
      </c>
      <c r="F79" s="209">
        <v>598329</v>
      </c>
      <c r="G79" s="209">
        <v>691297</v>
      </c>
      <c r="H79" s="209">
        <v>711805</v>
      </c>
      <c r="I79" s="210">
        <f>IFERROR(H79/G79-1,"-")</f>
        <v>2.9665975694961766E-2</v>
      </c>
      <c r="J79" s="210">
        <f>IFERROR(H79/D79-1,"-")</f>
        <v>2.3861453491967595</v>
      </c>
      <c r="K79" s="209">
        <f>H79-G79</f>
        <v>20508</v>
      </c>
      <c r="L79" s="209">
        <f>H79-D79</f>
        <v>501594</v>
      </c>
      <c r="M79" s="210">
        <f t="shared" ref="M79:M91" si="44">H79/H$9</f>
        <v>0.17481373675613507</v>
      </c>
    </row>
    <row r="80" spans="2:13" x14ac:dyDescent="0.25">
      <c r="B80" s="190" t="s">
        <v>99</v>
      </c>
      <c r="C80" s="191">
        <v>75068</v>
      </c>
      <c r="D80" s="191">
        <v>127023</v>
      </c>
      <c r="E80" s="191">
        <v>267342</v>
      </c>
      <c r="F80" s="191">
        <v>277292</v>
      </c>
      <c r="G80" s="191">
        <v>305825</v>
      </c>
      <c r="H80" s="191">
        <v>321321</v>
      </c>
      <c r="I80" s="211">
        <f>IFERROR(H80/G80-1,"-")</f>
        <v>5.0669500531349554E-2</v>
      </c>
      <c r="J80" s="192">
        <f t="shared" ref="J80:J91" si="45">IFERROR(H80/D80-1,"-")</f>
        <v>1.5296284924777401</v>
      </c>
      <c r="K80" s="191">
        <f t="shared" ref="K80:K90" si="46">H80-G80</f>
        <v>15496</v>
      </c>
      <c r="L80" s="191">
        <f t="shared" ref="L80:L91" si="47">H80-D80</f>
        <v>194298</v>
      </c>
      <c r="M80" s="192">
        <f t="shared" si="44"/>
        <v>7.8913922644850878E-2</v>
      </c>
    </row>
    <row r="81" spans="2:13" x14ac:dyDescent="0.25">
      <c r="B81" s="194" t="s">
        <v>105</v>
      </c>
      <c r="C81" s="195">
        <v>16241</v>
      </c>
      <c r="D81" s="195">
        <v>45986</v>
      </c>
      <c r="E81" s="195">
        <v>76215</v>
      </c>
      <c r="F81" s="195">
        <v>76079</v>
      </c>
      <c r="G81" s="195">
        <v>86382</v>
      </c>
      <c r="H81" s="195">
        <v>80878</v>
      </c>
      <c r="I81" s="212">
        <f>IFERROR(H81/G81-1,"-")</f>
        <v>-6.3716978074135788E-2</v>
      </c>
      <c r="J81" s="196">
        <f t="shared" si="45"/>
        <v>0.75875266385421658</v>
      </c>
      <c r="K81" s="195">
        <f t="shared" si="46"/>
        <v>-5504</v>
      </c>
      <c r="L81" s="195">
        <f t="shared" si="47"/>
        <v>34892</v>
      </c>
      <c r="M81" s="196">
        <f t="shared" si="44"/>
        <v>1.9863003774014922E-2</v>
      </c>
    </row>
    <row r="82" spans="2:13" x14ac:dyDescent="0.25">
      <c r="B82" s="194" t="s">
        <v>102</v>
      </c>
      <c r="C82" s="195">
        <v>58827</v>
      </c>
      <c r="D82" s="195">
        <v>81037</v>
      </c>
      <c r="E82" s="195">
        <v>191127</v>
      </c>
      <c r="F82" s="195">
        <v>201213</v>
      </c>
      <c r="G82" s="195">
        <v>219443</v>
      </c>
      <c r="H82" s="195">
        <v>240443</v>
      </c>
      <c r="I82" s="212">
        <f>IFERROR(H82/G82-1,"-")</f>
        <v>9.5696832434846391E-2</v>
      </c>
      <c r="J82" s="196">
        <f t="shared" si="45"/>
        <v>1.9670767674025447</v>
      </c>
      <c r="K82" s="195">
        <f t="shared" si="46"/>
        <v>21000</v>
      </c>
      <c r="L82" s="195">
        <f t="shared" si="47"/>
        <v>159406</v>
      </c>
      <c r="M82" s="196">
        <f t="shared" si="44"/>
        <v>5.9050918870835953E-2</v>
      </c>
    </row>
    <row r="83" spans="2:13" x14ac:dyDescent="0.25">
      <c r="B83" s="190" t="s">
        <v>109</v>
      </c>
      <c r="C83" s="191">
        <v>106440</v>
      </c>
      <c r="D83" s="191">
        <v>83188</v>
      </c>
      <c r="E83" s="191">
        <v>255860</v>
      </c>
      <c r="F83" s="191">
        <v>321037</v>
      </c>
      <c r="G83" s="191">
        <v>385472</v>
      </c>
      <c r="H83" s="191">
        <v>390484</v>
      </c>
      <c r="I83" s="211">
        <f>IFERROR(H83/G83-1,"-")</f>
        <v>1.3002241407936266E-2</v>
      </c>
      <c r="J83" s="192">
        <f t="shared" si="45"/>
        <v>3.6939943261047263</v>
      </c>
      <c r="K83" s="191">
        <f t="shared" si="46"/>
        <v>5012</v>
      </c>
      <c r="L83" s="191">
        <f t="shared" si="47"/>
        <v>307296</v>
      </c>
      <c r="M83" s="192">
        <f t="shared" si="44"/>
        <v>9.5899814111284204E-2</v>
      </c>
    </row>
    <row r="84" spans="2:13" x14ac:dyDescent="0.25">
      <c r="B84" s="194" t="s">
        <v>112</v>
      </c>
      <c r="C84" s="195">
        <v>18163</v>
      </c>
      <c r="D84" s="195">
        <v>6359</v>
      </c>
      <c r="E84" s="195">
        <v>51212</v>
      </c>
      <c r="F84" s="195">
        <v>67248</v>
      </c>
      <c r="G84" s="195">
        <v>81901</v>
      </c>
      <c r="H84" s="195">
        <v>86533</v>
      </c>
      <c r="I84" s="212">
        <f t="shared" ref="I84:I91" si="48">IFERROR(H84/G84-1,"-")</f>
        <v>5.655608600627593E-2</v>
      </c>
      <c r="J84" s="196">
        <f t="shared" si="45"/>
        <v>12.607957225978927</v>
      </c>
      <c r="K84" s="195">
        <f t="shared" si="46"/>
        <v>4632</v>
      </c>
      <c r="L84" s="195">
        <f t="shared" si="47"/>
        <v>80174</v>
      </c>
      <c r="M84" s="196">
        <f t="shared" si="44"/>
        <v>2.12518275127579E-2</v>
      </c>
    </row>
    <row r="85" spans="2:13" x14ac:dyDescent="0.25">
      <c r="B85" s="194" t="s">
        <v>115</v>
      </c>
      <c r="C85" s="195">
        <v>35353</v>
      </c>
      <c r="D85" s="195">
        <v>21107</v>
      </c>
      <c r="E85" s="195">
        <v>77150</v>
      </c>
      <c r="F85" s="195">
        <v>88481</v>
      </c>
      <c r="G85" s="195">
        <v>98955</v>
      </c>
      <c r="H85" s="195">
        <v>98181</v>
      </c>
      <c r="I85" s="212">
        <f t="shared" si="48"/>
        <v>-7.8217371532515179E-3</v>
      </c>
      <c r="J85" s="196">
        <f t="shared" si="45"/>
        <v>3.651584782299711</v>
      </c>
      <c r="K85" s="195">
        <f t="shared" si="46"/>
        <v>-774</v>
      </c>
      <c r="L85" s="195">
        <f t="shared" si="47"/>
        <v>77074</v>
      </c>
      <c r="M85" s="196">
        <f t="shared" si="44"/>
        <v>2.4112485144743432E-2</v>
      </c>
    </row>
    <row r="86" spans="2:13" x14ac:dyDescent="0.25">
      <c r="B86" s="194" t="s">
        <v>118</v>
      </c>
      <c r="C86" s="195">
        <v>6685</v>
      </c>
      <c r="D86" s="195">
        <v>12242</v>
      </c>
      <c r="E86" s="195">
        <v>22539</v>
      </c>
      <c r="F86" s="195">
        <v>30609</v>
      </c>
      <c r="G86" s="195">
        <v>44207</v>
      </c>
      <c r="H86" s="195">
        <v>43978</v>
      </c>
      <c r="I86" s="212">
        <f t="shared" si="48"/>
        <v>-5.1801750853937012E-3</v>
      </c>
      <c r="J86" s="196">
        <f t="shared" si="45"/>
        <v>2.5923868648913575</v>
      </c>
      <c r="K86" s="195">
        <f t="shared" si="46"/>
        <v>-229</v>
      </c>
      <c r="L86" s="195">
        <f t="shared" si="47"/>
        <v>31736</v>
      </c>
      <c r="M86" s="196">
        <f t="shared" si="44"/>
        <v>1.0800652587522297E-2</v>
      </c>
    </row>
    <row r="87" spans="2:13" x14ac:dyDescent="0.25">
      <c r="B87" s="194" t="s">
        <v>125</v>
      </c>
      <c r="C87" s="195">
        <v>1721</v>
      </c>
      <c r="D87" s="195">
        <v>2570</v>
      </c>
      <c r="E87" s="195">
        <v>7869</v>
      </c>
      <c r="F87" s="195">
        <v>8834</v>
      </c>
      <c r="G87" s="195">
        <v>13464</v>
      </c>
      <c r="H87" s="195">
        <v>11759</v>
      </c>
      <c r="I87" s="212">
        <f t="shared" si="48"/>
        <v>-0.12663398692810457</v>
      </c>
      <c r="J87" s="196">
        <f t="shared" si="45"/>
        <v>3.5754863813229569</v>
      </c>
      <c r="K87" s="195">
        <f t="shared" si="46"/>
        <v>-1705</v>
      </c>
      <c r="L87" s="195">
        <f t="shared" si="47"/>
        <v>9189</v>
      </c>
      <c r="M87" s="196">
        <f t="shared" si="44"/>
        <v>2.8879183631969323E-3</v>
      </c>
    </row>
    <row r="88" spans="2:13" x14ac:dyDescent="0.25">
      <c r="B88" s="194" t="s">
        <v>121</v>
      </c>
      <c r="C88" s="195">
        <v>1773</v>
      </c>
      <c r="D88" s="195">
        <v>2533</v>
      </c>
      <c r="E88" s="195">
        <v>4255</v>
      </c>
      <c r="F88" s="195">
        <v>5067</v>
      </c>
      <c r="G88" s="195">
        <v>6472</v>
      </c>
      <c r="H88" s="195">
        <v>6692</v>
      </c>
      <c r="I88" s="212">
        <f t="shared" si="48"/>
        <v>3.3992583436341262E-2</v>
      </c>
      <c r="J88" s="196">
        <f t="shared" si="45"/>
        <v>1.6419265692854323</v>
      </c>
      <c r="K88" s="195">
        <f t="shared" si="46"/>
        <v>220</v>
      </c>
      <c r="L88" s="195">
        <f t="shared" si="47"/>
        <v>4159</v>
      </c>
      <c r="M88" s="196">
        <f t="shared" si="44"/>
        <v>1.6435028222224568E-3</v>
      </c>
    </row>
    <row r="89" spans="2:13" x14ac:dyDescent="0.25">
      <c r="B89" s="194" t="s">
        <v>130</v>
      </c>
      <c r="C89" s="195">
        <v>3024</v>
      </c>
      <c r="D89" s="195">
        <v>484</v>
      </c>
      <c r="E89" s="195">
        <v>4253</v>
      </c>
      <c r="F89" s="195">
        <v>5646</v>
      </c>
      <c r="G89" s="195">
        <v>4857</v>
      </c>
      <c r="H89" s="195">
        <v>5364</v>
      </c>
      <c r="I89" s="212">
        <f t="shared" si="48"/>
        <v>0.10438542310067933</v>
      </c>
      <c r="J89" s="196">
        <f t="shared" si="45"/>
        <v>10.082644628099173</v>
      </c>
      <c r="K89" s="195">
        <f t="shared" si="46"/>
        <v>507</v>
      </c>
      <c r="L89" s="195">
        <f t="shared" si="47"/>
        <v>4880</v>
      </c>
      <c r="M89" s="196">
        <f t="shared" si="44"/>
        <v>1.3173564163779525E-3</v>
      </c>
    </row>
    <row r="90" spans="2:13" x14ac:dyDescent="0.25">
      <c r="B90" s="194" t="s">
        <v>133</v>
      </c>
      <c r="C90" s="195">
        <v>4683</v>
      </c>
      <c r="D90" s="195">
        <v>553</v>
      </c>
      <c r="E90" s="195">
        <v>3642</v>
      </c>
      <c r="F90" s="195">
        <v>5970</v>
      </c>
      <c r="G90" s="195">
        <v>6239</v>
      </c>
      <c r="H90" s="195">
        <v>4233</v>
      </c>
      <c r="I90" s="212">
        <f t="shared" si="48"/>
        <v>-0.32152588555858308</v>
      </c>
      <c r="J90" s="196">
        <f t="shared" si="45"/>
        <v>6.6546112115732372</v>
      </c>
      <c r="K90" s="195">
        <f t="shared" si="46"/>
        <v>-2006</v>
      </c>
      <c r="L90" s="195">
        <f t="shared" si="47"/>
        <v>3680</v>
      </c>
      <c r="M90" s="196">
        <f t="shared" si="44"/>
        <v>1.0395916686293575E-3</v>
      </c>
    </row>
    <row r="91" spans="2:13" x14ac:dyDescent="0.25">
      <c r="B91" s="199" t="s">
        <v>147</v>
      </c>
      <c r="C91" s="200">
        <f t="shared" ref="C91" si="49">C83-SUM(C84:C90)</f>
        <v>35038</v>
      </c>
      <c r="D91" s="200">
        <f t="shared" ref="D91:E91" si="50">D83-SUM(D84:D90)</f>
        <v>37340</v>
      </c>
      <c r="E91" s="200">
        <f t="shared" si="50"/>
        <v>84940</v>
      </c>
      <c r="F91" s="200">
        <f t="shared" ref="F91:H91" si="51">F83-SUM(F84:F90)</f>
        <v>109182</v>
      </c>
      <c r="G91" s="200">
        <f t="shared" si="51"/>
        <v>129377</v>
      </c>
      <c r="H91" s="200">
        <f t="shared" si="51"/>
        <v>133744</v>
      </c>
      <c r="I91" s="213">
        <f t="shared" si="48"/>
        <v>3.3754067569969903E-2</v>
      </c>
      <c r="J91" s="201">
        <f t="shared" si="45"/>
        <v>2.5817889662560258</v>
      </c>
      <c r="K91" s="200">
        <f>H91-G91</f>
        <v>4367</v>
      </c>
      <c r="L91" s="200">
        <f t="shared" si="47"/>
        <v>96404</v>
      </c>
      <c r="M91" s="201">
        <f t="shared" si="44"/>
        <v>3.2846479595833873E-2</v>
      </c>
    </row>
    <row r="92" spans="2:13" x14ac:dyDescent="0.25">
      <c r="B92" s="186" t="s">
        <v>51</v>
      </c>
      <c r="C92" s="184"/>
      <c r="D92" s="184"/>
      <c r="E92" s="184"/>
      <c r="F92" s="184"/>
      <c r="G92" s="184"/>
      <c r="H92" s="184"/>
      <c r="I92" s="185"/>
      <c r="J92" s="185"/>
      <c r="K92" s="185"/>
      <c r="L92" s="184"/>
      <c r="M92" s="184"/>
    </row>
    <row r="93" spans="2:13" x14ac:dyDescent="0.25">
      <c r="B93" s="187" t="s">
        <v>70</v>
      </c>
      <c r="C93" s="209">
        <v>17295</v>
      </c>
      <c r="D93" s="209">
        <v>21073</v>
      </c>
      <c r="E93" s="209">
        <v>37456</v>
      </c>
      <c r="F93" s="209">
        <v>44189</v>
      </c>
      <c r="G93" s="209">
        <v>41777</v>
      </c>
      <c r="H93" s="209">
        <v>40413</v>
      </c>
      <c r="I93" s="210">
        <f>IFERROR(H93/G93-1,"-")</f>
        <v>-3.2649544007468223E-2</v>
      </c>
      <c r="J93" s="210">
        <f>IFERROR(H93/D93-1,"-")</f>
        <v>0.91776206520191717</v>
      </c>
      <c r="K93" s="209">
        <f>H93-G93</f>
        <v>-1364</v>
      </c>
      <c r="L93" s="209">
        <f>H93-D93</f>
        <v>19340</v>
      </c>
      <c r="M93" s="210">
        <f t="shared" ref="M93:M105" si="52">H93/H$9</f>
        <v>9.9251164905074934E-3</v>
      </c>
    </row>
    <row r="94" spans="2:13" x14ac:dyDescent="0.25">
      <c r="B94" s="190" t="s">
        <v>99</v>
      </c>
      <c r="C94" s="191">
        <v>11031</v>
      </c>
      <c r="D94" s="191">
        <v>13958</v>
      </c>
      <c r="E94" s="191">
        <v>24786</v>
      </c>
      <c r="F94" s="191">
        <v>29860</v>
      </c>
      <c r="G94" s="191">
        <v>26153</v>
      </c>
      <c r="H94" s="191">
        <v>25265</v>
      </c>
      <c r="I94" s="211">
        <f>IFERROR(H94/G94-1,"-")</f>
        <v>-3.3954039689519377E-2</v>
      </c>
      <c r="J94" s="192">
        <f t="shared" ref="J94:J105" si="53">IFERROR(H94/D94-1,"-")</f>
        <v>0.81007307637197301</v>
      </c>
      <c r="K94" s="191">
        <f t="shared" ref="K94:K104" si="54">H94-G94</f>
        <v>-888</v>
      </c>
      <c r="L94" s="191">
        <f t="shared" ref="L94:L105" si="55">H94-D94</f>
        <v>11307</v>
      </c>
      <c r="M94" s="192">
        <f t="shared" si="52"/>
        <v>6.2048862527570789E-3</v>
      </c>
    </row>
    <row r="95" spans="2:13" x14ac:dyDescent="0.25">
      <c r="B95" s="194" t="s">
        <v>105</v>
      </c>
      <c r="C95" s="195">
        <v>5930</v>
      </c>
      <c r="D95" s="195">
        <v>7014</v>
      </c>
      <c r="E95" s="195">
        <v>11891</v>
      </c>
      <c r="F95" s="195">
        <v>9535</v>
      </c>
      <c r="G95" s="195">
        <v>8202</v>
      </c>
      <c r="H95" s="195">
        <v>8889</v>
      </c>
      <c r="I95" s="212">
        <f>IFERROR(H95/G95-1,"-")</f>
        <v>8.376005852231172E-2</v>
      </c>
      <c r="J95" s="196">
        <f t="shared" si="53"/>
        <v>0.26732249786141993</v>
      </c>
      <c r="K95" s="195">
        <f t="shared" si="54"/>
        <v>687</v>
      </c>
      <c r="L95" s="195">
        <f t="shared" si="55"/>
        <v>1875</v>
      </c>
      <c r="M95" s="196">
        <f t="shared" si="52"/>
        <v>2.183068826469728E-3</v>
      </c>
    </row>
    <row r="96" spans="2:13" x14ac:dyDescent="0.25">
      <c r="B96" s="194" t="s">
        <v>102</v>
      </c>
      <c r="C96" s="195">
        <v>5101</v>
      </c>
      <c r="D96" s="195">
        <v>6944</v>
      </c>
      <c r="E96" s="195">
        <v>12895</v>
      </c>
      <c r="F96" s="195">
        <v>20325</v>
      </c>
      <c r="G96" s="195">
        <v>17951</v>
      </c>
      <c r="H96" s="195">
        <v>16376</v>
      </c>
      <c r="I96" s="212">
        <f>IFERROR(H96/G96-1,"-")</f>
        <v>-8.7738844632610946E-2</v>
      </c>
      <c r="J96" s="196">
        <f t="shared" si="53"/>
        <v>1.3582949308755761</v>
      </c>
      <c r="K96" s="195">
        <f t="shared" si="54"/>
        <v>-1575</v>
      </c>
      <c r="L96" s="195">
        <f t="shared" si="55"/>
        <v>9432</v>
      </c>
      <c r="M96" s="196">
        <f t="shared" si="52"/>
        <v>4.0218174262873514E-3</v>
      </c>
    </row>
    <row r="97" spans="2:13" x14ac:dyDescent="0.25">
      <c r="B97" s="190" t="s">
        <v>109</v>
      </c>
      <c r="C97" s="191">
        <v>6264</v>
      </c>
      <c r="D97" s="191">
        <v>7115</v>
      </c>
      <c r="E97" s="191">
        <v>12670</v>
      </c>
      <c r="F97" s="191">
        <v>14329</v>
      </c>
      <c r="G97" s="191">
        <v>15624</v>
      </c>
      <c r="H97" s="191">
        <v>15148</v>
      </c>
      <c r="I97" s="211">
        <f>IFERROR(H97/G97-1,"-")</f>
        <v>-3.046594982078854E-2</v>
      </c>
      <c r="J97" s="192">
        <f t="shared" si="53"/>
        <v>1.1290231904427266</v>
      </c>
      <c r="K97" s="191">
        <f t="shared" si="54"/>
        <v>-476</v>
      </c>
      <c r="L97" s="191">
        <f t="shared" si="55"/>
        <v>8033</v>
      </c>
      <c r="M97" s="192">
        <f t="shared" si="52"/>
        <v>3.720230237750415E-3</v>
      </c>
    </row>
    <row r="98" spans="2:13" x14ac:dyDescent="0.25">
      <c r="B98" s="194" t="s">
        <v>112</v>
      </c>
      <c r="C98" s="195">
        <v>1042</v>
      </c>
      <c r="D98" s="195">
        <v>346</v>
      </c>
      <c r="E98" s="195">
        <v>1661</v>
      </c>
      <c r="F98" s="195">
        <v>2018</v>
      </c>
      <c r="G98" s="195">
        <v>2246</v>
      </c>
      <c r="H98" s="195">
        <v>1878</v>
      </c>
      <c r="I98" s="212">
        <f t="shared" ref="I98:I105" si="56">IFERROR(H98/G98-1,"-")</f>
        <v>-0.16384683882457707</v>
      </c>
      <c r="J98" s="196">
        <f t="shared" si="53"/>
        <v>4.4277456647398843</v>
      </c>
      <c r="K98" s="195">
        <f t="shared" si="54"/>
        <v>-368</v>
      </c>
      <c r="L98" s="195">
        <f t="shared" si="55"/>
        <v>1532</v>
      </c>
      <c r="M98" s="196">
        <f t="shared" si="52"/>
        <v>4.612221010361288E-4</v>
      </c>
    </row>
    <row r="99" spans="2:13" x14ac:dyDescent="0.25">
      <c r="B99" s="194" t="s">
        <v>115</v>
      </c>
      <c r="C99" s="195">
        <v>1199</v>
      </c>
      <c r="D99" s="195">
        <v>1176</v>
      </c>
      <c r="E99" s="195">
        <v>2396</v>
      </c>
      <c r="F99" s="195">
        <v>2589</v>
      </c>
      <c r="G99" s="195">
        <v>3010</v>
      </c>
      <c r="H99" s="195">
        <v>2671</v>
      </c>
      <c r="I99" s="212">
        <f t="shared" si="56"/>
        <v>-0.11262458471760795</v>
      </c>
      <c r="J99" s="196">
        <f t="shared" si="53"/>
        <v>1.2712585034013606</v>
      </c>
      <c r="K99" s="195">
        <f t="shared" si="54"/>
        <v>-339</v>
      </c>
      <c r="L99" s="195">
        <f t="shared" si="55"/>
        <v>1495</v>
      </c>
      <c r="M99" s="196">
        <f t="shared" si="52"/>
        <v>6.5597669428514376E-4</v>
      </c>
    </row>
    <row r="100" spans="2:13" x14ac:dyDescent="0.25">
      <c r="B100" s="194" t="s">
        <v>118</v>
      </c>
      <c r="C100" s="195">
        <v>1494</v>
      </c>
      <c r="D100" s="195">
        <v>2663</v>
      </c>
      <c r="E100" s="195">
        <v>2543</v>
      </c>
      <c r="F100" s="195">
        <v>2839</v>
      </c>
      <c r="G100" s="195">
        <v>2752</v>
      </c>
      <c r="H100" s="195">
        <v>2727</v>
      </c>
      <c r="I100" s="212">
        <f t="shared" si="56"/>
        <v>-9.0843023255814392E-3</v>
      </c>
      <c r="J100" s="196">
        <f t="shared" si="53"/>
        <v>2.4033045437476641E-2</v>
      </c>
      <c r="K100" s="195">
        <f t="shared" si="54"/>
        <v>-25</v>
      </c>
      <c r="L100" s="195">
        <f t="shared" si="55"/>
        <v>64</v>
      </c>
      <c r="M100" s="196">
        <f t="shared" si="52"/>
        <v>6.6972985597738195E-4</v>
      </c>
    </row>
    <row r="101" spans="2:13" x14ac:dyDescent="0.25">
      <c r="B101" s="194" t="s">
        <v>125</v>
      </c>
      <c r="C101" s="195">
        <v>280</v>
      </c>
      <c r="D101" s="195">
        <v>162</v>
      </c>
      <c r="E101" s="195">
        <v>886</v>
      </c>
      <c r="F101" s="195">
        <v>646</v>
      </c>
      <c r="G101" s="195">
        <v>701</v>
      </c>
      <c r="H101" s="195">
        <v>667</v>
      </c>
      <c r="I101" s="212">
        <f t="shared" si="56"/>
        <v>-4.8502139800285282E-2</v>
      </c>
      <c r="J101" s="196">
        <f t="shared" si="53"/>
        <v>3.117283950617284</v>
      </c>
      <c r="K101" s="195">
        <f t="shared" si="54"/>
        <v>-34</v>
      </c>
      <c r="L101" s="195">
        <f t="shared" si="55"/>
        <v>505</v>
      </c>
      <c r="M101" s="196">
        <f t="shared" si="52"/>
        <v>1.638099794414792E-4</v>
      </c>
    </row>
    <row r="102" spans="2:13" x14ac:dyDescent="0.25">
      <c r="B102" s="194" t="s">
        <v>121</v>
      </c>
      <c r="C102" s="195">
        <v>217</v>
      </c>
      <c r="D102" s="195">
        <v>272</v>
      </c>
      <c r="E102" s="195">
        <v>523</v>
      </c>
      <c r="F102" s="195">
        <v>426</v>
      </c>
      <c r="G102" s="195">
        <v>639</v>
      </c>
      <c r="H102" s="195">
        <v>604</v>
      </c>
      <c r="I102" s="212">
        <f t="shared" si="56"/>
        <v>-5.477308294209704E-2</v>
      </c>
      <c r="J102" s="196">
        <f t="shared" si="53"/>
        <v>1.2205882352941178</v>
      </c>
      <c r="K102" s="195">
        <f t="shared" si="54"/>
        <v>-35</v>
      </c>
      <c r="L102" s="195">
        <f t="shared" si="55"/>
        <v>332</v>
      </c>
      <c r="M102" s="196">
        <f t="shared" si="52"/>
        <v>1.483376725377113E-4</v>
      </c>
    </row>
    <row r="103" spans="2:13" x14ac:dyDescent="0.25">
      <c r="B103" s="194" t="s">
        <v>130</v>
      </c>
      <c r="C103" s="195">
        <v>114</v>
      </c>
      <c r="D103" s="195">
        <v>20</v>
      </c>
      <c r="E103" s="195">
        <v>222</v>
      </c>
      <c r="F103" s="195">
        <v>106</v>
      </c>
      <c r="G103" s="195">
        <v>178</v>
      </c>
      <c r="H103" s="195">
        <v>157</v>
      </c>
      <c r="I103" s="212">
        <f t="shared" si="56"/>
        <v>-0.1179775280898876</v>
      </c>
      <c r="J103" s="196">
        <f t="shared" si="53"/>
        <v>6.85</v>
      </c>
      <c r="K103" s="195">
        <f t="shared" si="54"/>
        <v>-21</v>
      </c>
      <c r="L103" s="195">
        <f t="shared" si="55"/>
        <v>137</v>
      </c>
      <c r="M103" s="196">
        <f t="shared" si="52"/>
        <v>3.8557971172881911E-5</v>
      </c>
    </row>
    <row r="104" spans="2:13" x14ac:dyDescent="0.25">
      <c r="B104" s="194" t="s">
        <v>133</v>
      </c>
      <c r="C104" s="195">
        <v>66</v>
      </c>
      <c r="D104" s="195">
        <v>63</v>
      </c>
      <c r="E104" s="195">
        <v>114</v>
      </c>
      <c r="F104" s="195">
        <v>190</v>
      </c>
      <c r="G104" s="195">
        <v>282</v>
      </c>
      <c r="H104" s="195">
        <v>159</v>
      </c>
      <c r="I104" s="212">
        <f t="shared" si="56"/>
        <v>-0.43617021276595747</v>
      </c>
      <c r="J104" s="196">
        <f t="shared" si="53"/>
        <v>1.5238095238095237</v>
      </c>
      <c r="K104" s="195">
        <f t="shared" si="54"/>
        <v>-123</v>
      </c>
      <c r="L104" s="195">
        <f t="shared" si="55"/>
        <v>96</v>
      </c>
      <c r="M104" s="196">
        <f t="shared" si="52"/>
        <v>3.9049155519033271E-5</v>
      </c>
    </row>
    <row r="105" spans="2:13" x14ac:dyDescent="0.25">
      <c r="B105" s="199" t="s">
        <v>147</v>
      </c>
      <c r="C105" s="200">
        <f t="shared" ref="C105" si="57">C97-SUM(C98:C104)</f>
        <v>1852</v>
      </c>
      <c r="D105" s="200">
        <f t="shared" ref="D105:E105" si="58">D97-SUM(D98:D104)</f>
        <v>2413</v>
      </c>
      <c r="E105" s="200">
        <f t="shared" si="58"/>
        <v>4325</v>
      </c>
      <c r="F105" s="200">
        <f t="shared" ref="F105:H105" si="59">F97-SUM(F98:F104)</f>
        <v>5515</v>
      </c>
      <c r="G105" s="200">
        <f t="shared" si="59"/>
        <v>5816</v>
      </c>
      <c r="H105" s="200">
        <f t="shared" si="59"/>
        <v>6285</v>
      </c>
      <c r="I105" s="213">
        <f t="shared" si="56"/>
        <v>8.0639614855570807E-2</v>
      </c>
      <c r="J105" s="201">
        <f t="shared" si="53"/>
        <v>1.6046415250725237</v>
      </c>
      <c r="K105" s="200">
        <f>H105-G105</f>
        <v>469</v>
      </c>
      <c r="L105" s="200">
        <f t="shared" si="55"/>
        <v>3872</v>
      </c>
      <c r="M105" s="201">
        <f t="shared" si="52"/>
        <v>1.5435468077806547E-3</v>
      </c>
    </row>
    <row r="106" spans="2:13" x14ac:dyDescent="0.25">
      <c r="B106" s="186" t="s">
        <v>52</v>
      </c>
      <c r="C106" s="184"/>
      <c r="D106" s="184"/>
      <c r="E106" s="184"/>
      <c r="F106" s="184"/>
      <c r="G106" s="184"/>
      <c r="H106" s="184"/>
      <c r="I106" s="185"/>
      <c r="J106" s="185"/>
      <c r="K106" s="185"/>
      <c r="L106" s="184"/>
      <c r="M106" s="184"/>
    </row>
    <row r="107" spans="2:13" x14ac:dyDescent="0.25">
      <c r="B107" s="187" t="s">
        <v>70</v>
      </c>
      <c r="C107" s="209">
        <v>59721</v>
      </c>
      <c r="D107" s="209">
        <v>69853</v>
      </c>
      <c r="E107" s="209">
        <v>146094</v>
      </c>
      <c r="F107" s="209">
        <v>187734</v>
      </c>
      <c r="G107" s="209">
        <v>181355</v>
      </c>
      <c r="H107" s="209">
        <v>192018</v>
      </c>
      <c r="I107" s="210">
        <f>IFERROR(H107/G107-1,"-")</f>
        <v>5.8796283532298599E-2</v>
      </c>
      <c r="J107" s="210">
        <f>IFERROR(H107/D107-1,"-")</f>
        <v>1.7488869483057279</v>
      </c>
      <c r="K107" s="209">
        <f>H107-G107</f>
        <v>10663</v>
      </c>
      <c r="L107" s="209">
        <f>H107-D107</f>
        <v>122165</v>
      </c>
      <c r="M107" s="210">
        <f t="shared" ref="M107:M119" si="60">H107/H$9</f>
        <v>4.7158117889646106E-2</v>
      </c>
    </row>
    <row r="108" spans="2:13" x14ac:dyDescent="0.25">
      <c r="B108" s="190" t="s">
        <v>99</v>
      </c>
      <c r="C108" s="191">
        <v>24373</v>
      </c>
      <c r="D108" s="191">
        <v>37856</v>
      </c>
      <c r="E108" s="191">
        <v>37846</v>
      </c>
      <c r="F108" s="191">
        <v>43389</v>
      </c>
      <c r="G108" s="191">
        <v>40492</v>
      </c>
      <c r="H108" s="191">
        <v>43451</v>
      </c>
      <c r="I108" s="211">
        <f>IFERROR(H108/G108-1,"-")</f>
        <v>7.3076163192729471E-2</v>
      </c>
      <c r="J108" s="192">
        <f t="shared" ref="J108:J119" si="61">IFERROR(H108/D108-1,"-")</f>
        <v>0.14779691462383759</v>
      </c>
      <c r="K108" s="191">
        <f t="shared" ref="K108:K118" si="62">H108-G108</f>
        <v>2959</v>
      </c>
      <c r="L108" s="191">
        <f t="shared" ref="L108:L119" si="63">H108-D108</f>
        <v>5595</v>
      </c>
      <c r="M108" s="192">
        <f t="shared" si="60"/>
        <v>1.0671225512311413E-2</v>
      </c>
    </row>
    <row r="109" spans="2:13" x14ac:dyDescent="0.25">
      <c r="B109" s="194" t="s">
        <v>105</v>
      </c>
      <c r="C109" s="195">
        <v>2058</v>
      </c>
      <c r="D109" s="195">
        <v>21947</v>
      </c>
      <c r="E109" s="195">
        <v>13592</v>
      </c>
      <c r="F109" s="195">
        <v>16768</v>
      </c>
      <c r="G109" s="195">
        <v>13342</v>
      </c>
      <c r="H109" s="195">
        <v>16373</v>
      </c>
      <c r="I109" s="212">
        <f>IFERROR(H109/G109-1,"-")</f>
        <v>0.22717733473242396</v>
      </c>
      <c r="J109" s="196">
        <f t="shared" si="61"/>
        <v>-0.25397548639905221</v>
      </c>
      <c r="K109" s="195">
        <f t="shared" si="62"/>
        <v>3031</v>
      </c>
      <c r="L109" s="195">
        <f t="shared" si="63"/>
        <v>-5574</v>
      </c>
      <c r="M109" s="196">
        <f t="shared" si="60"/>
        <v>4.0210806497681245E-3</v>
      </c>
    </row>
    <row r="110" spans="2:13" x14ac:dyDescent="0.25">
      <c r="B110" s="194" t="s">
        <v>102</v>
      </c>
      <c r="C110" s="195">
        <v>22315</v>
      </c>
      <c r="D110" s="195">
        <v>15909</v>
      </c>
      <c r="E110" s="195">
        <v>24254</v>
      </c>
      <c r="F110" s="195">
        <v>26621</v>
      </c>
      <c r="G110" s="195">
        <v>27150</v>
      </c>
      <c r="H110" s="195">
        <v>27078</v>
      </c>
      <c r="I110" s="212">
        <f>IFERROR(H110/G110-1,"-")</f>
        <v>-2.6519337016575051E-3</v>
      </c>
      <c r="J110" s="196">
        <f t="shared" si="61"/>
        <v>0.70205544031680178</v>
      </c>
      <c r="K110" s="195">
        <f t="shared" si="62"/>
        <v>-72</v>
      </c>
      <c r="L110" s="195">
        <f t="shared" si="63"/>
        <v>11169</v>
      </c>
      <c r="M110" s="196">
        <f t="shared" si="60"/>
        <v>6.6501448625432887E-3</v>
      </c>
    </row>
    <row r="111" spans="2:13" x14ac:dyDescent="0.25">
      <c r="B111" s="190" t="s">
        <v>109</v>
      </c>
      <c r="C111" s="191">
        <v>35348</v>
      </c>
      <c r="D111" s="191">
        <v>31997</v>
      </c>
      <c r="E111" s="191">
        <v>108248</v>
      </c>
      <c r="F111" s="191">
        <v>144345</v>
      </c>
      <c r="G111" s="191">
        <v>140863</v>
      </c>
      <c r="H111" s="191">
        <v>148567</v>
      </c>
      <c r="I111" s="211">
        <f>IFERROR(H111/G111-1,"-")</f>
        <v>5.4691437779970542E-2</v>
      </c>
      <c r="J111" s="192">
        <f t="shared" si="61"/>
        <v>3.6431540456917837</v>
      </c>
      <c r="K111" s="191">
        <f t="shared" si="62"/>
        <v>7704</v>
      </c>
      <c r="L111" s="191">
        <f t="shared" si="63"/>
        <v>116570</v>
      </c>
      <c r="M111" s="192">
        <f t="shared" si="60"/>
        <v>3.6486892377334691E-2</v>
      </c>
    </row>
    <row r="112" spans="2:13" x14ac:dyDescent="0.25">
      <c r="B112" s="194" t="s">
        <v>112</v>
      </c>
      <c r="C112" s="195">
        <v>17631</v>
      </c>
      <c r="D112" s="195">
        <v>9707</v>
      </c>
      <c r="E112" s="195">
        <v>65362</v>
      </c>
      <c r="F112" s="195">
        <v>94419</v>
      </c>
      <c r="G112" s="195">
        <v>87590</v>
      </c>
      <c r="H112" s="195">
        <v>90370</v>
      </c>
      <c r="I112" s="212">
        <f t="shared" ref="I112:I119" si="64">IFERROR(H112/G112-1,"-")</f>
        <v>3.1738782966092005E-2</v>
      </c>
      <c r="J112" s="196">
        <f t="shared" si="61"/>
        <v>8.3097764499845468</v>
      </c>
      <c r="K112" s="195">
        <f t="shared" si="62"/>
        <v>2780</v>
      </c>
      <c r="L112" s="195">
        <f t="shared" si="63"/>
        <v>80663</v>
      </c>
      <c r="M112" s="196">
        <f t="shared" si="60"/>
        <v>2.2194164680849286E-2</v>
      </c>
    </row>
    <row r="113" spans="2:13" x14ac:dyDescent="0.25">
      <c r="B113" s="194" t="s">
        <v>115</v>
      </c>
      <c r="C113" s="195">
        <v>2335</v>
      </c>
      <c r="D113" s="195">
        <v>5059</v>
      </c>
      <c r="E113" s="195">
        <v>4642</v>
      </c>
      <c r="F113" s="195">
        <v>6272</v>
      </c>
      <c r="G113" s="195">
        <v>6015</v>
      </c>
      <c r="H113" s="195">
        <v>6896</v>
      </c>
      <c r="I113" s="212">
        <f t="shared" si="64"/>
        <v>0.14646716541978377</v>
      </c>
      <c r="J113" s="196">
        <f t="shared" si="61"/>
        <v>0.36311524016604069</v>
      </c>
      <c r="K113" s="195">
        <f t="shared" si="62"/>
        <v>881</v>
      </c>
      <c r="L113" s="195">
        <f t="shared" si="63"/>
        <v>1837</v>
      </c>
      <c r="M113" s="196">
        <f t="shared" si="60"/>
        <v>1.6936036255298958E-3</v>
      </c>
    </row>
    <row r="114" spans="2:13" x14ac:dyDescent="0.25">
      <c r="B114" s="194" t="s">
        <v>118</v>
      </c>
      <c r="C114" s="195">
        <v>1974</v>
      </c>
      <c r="D114" s="195">
        <v>4878</v>
      </c>
      <c r="E114" s="195">
        <v>7032</v>
      </c>
      <c r="F114" s="195">
        <v>10935</v>
      </c>
      <c r="G114" s="195">
        <v>10431</v>
      </c>
      <c r="H114" s="195">
        <v>11906</v>
      </c>
      <c r="I114" s="212">
        <f t="shared" si="64"/>
        <v>0.14140542613364016</v>
      </c>
      <c r="J114" s="196">
        <f t="shared" si="61"/>
        <v>1.4407544075440755</v>
      </c>
      <c r="K114" s="195">
        <f t="shared" si="62"/>
        <v>1475</v>
      </c>
      <c r="L114" s="195">
        <f t="shared" si="63"/>
        <v>7028</v>
      </c>
      <c r="M114" s="196">
        <f t="shared" si="60"/>
        <v>2.9240204126390573E-3</v>
      </c>
    </row>
    <row r="115" spans="2:13" x14ac:dyDescent="0.25">
      <c r="B115" s="194" t="s">
        <v>125</v>
      </c>
      <c r="C115" s="195">
        <v>1058</v>
      </c>
      <c r="D115" s="195">
        <v>2165</v>
      </c>
      <c r="E115" s="195">
        <v>4569</v>
      </c>
      <c r="F115" s="195">
        <v>4338</v>
      </c>
      <c r="G115" s="195">
        <v>4452</v>
      </c>
      <c r="H115" s="195">
        <v>5010</v>
      </c>
      <c r="I115" s="212">
        <f t="shared" si="64"/>
        <v>0.1253369272237197</v>
      </c>
      <c r="J115" s="196">
        <f t="shared" si="61"/>
        <v>1.3140877598152425</v>
      </c>
      <c r="K115" s="195">
        <f t="shared" si="62"/>
        <v>558</v>
      </c>
      <c r="L115" s="195">
        <f t="shared" si="63"/>
        <v>2845</v>
      </c>
      <c r="M115" s="196">
        <f t="shared" si="60"/>
        <v>1.2304167871091615E-3</v>
      </c>
    </row>
    <row r="116" spans="2:13" x14ac:dyDescent="0.25">
      <c r="B116" s="194" t="s">
        <v>121</v>
      </c>
      <c r="C116" s="195">
        <v>2533</v>
      </c>
      <c r="D116" s="195">
        <v>2658</v>
      </c>
      <c r="E116" s="195">
        <v>3747</v>
      </c>
      <c r="F116" s="195">
        <v>4004</v>
      </c>
      <c r="G116" s="195">
        <v>3610</v>
      </c>
      <c r="H116" s="195">
        <v>3645</v>
      </c>
      <c r="I116" s="212">
        <f t="shared" si="64"/>
        <v>9.6952908587257802E-3</v>
      </c>
      <c r="J116" s="196">
        <f t="shared" si="61"/>
        <v>0.37133182844243784</v>
      </c>
      <c r="K116" s="195">
        <f t="shared" si="62"/>
        <v>35</v>
      </c>
      <c r="L116" s="195">
        <f t="shared" si="63"/>
        <v>987</v>
      </c>
      <c r="M116" s="196">
        <f t="shared" si="60"/>
        <v>8.9518347086085706E-4</v>
      </c>
    </row>
    <row r="117" spans="2:13" x14ac:dyDescent="0.25">
      <c r="B117" s="194" t="s">
        <v>130</v>
      </c>
      <c r="C117" s="195">
        <v>403</v>
      </c>
      <c r="D117" s="195">
        <v>61</v>
      </c>
      <c r="E117" s="195">
        <v>552</v>
      </c>
      <c r="F117" s="195">
        <v>913</v>
      </c>
      <c r="G117" s="195">
        <v>911</v>
      </c>
      <c r="H117" s="195">
        <v>897</v>
      </c>
      <c r="I117" s="212">
        <f t="shared" si="64"/>
        <v>-1.5367727771679496E-2</v>
      </c>
      <c r="J117" s="196">
        <f t="shared" si="61"/>
        <v>13.704918032786885</v>
      </c>
      <c r="K117" s="195">
        <f t="shared" si="62"/>
        <v>-14</v>
      </c>
      <c r="L117" s="195">
        <f t="shared" si="63"/>
        <v>836</v>
      </c>
      <c r="M117" s="196">
        <f t="shared" si="60"/>
        <v>2.2029617924888581E-4</v>
      </c>
    </row>
    <row r="118" spans="2:13" x14ac:dyDescent="0.25">
      <c r="B118" s="194" t="s">
        <v>133</v>
      </c>
      <c r="C118" s="195">
        <v>917</v>
      </c>
      <c r="D118" s="195">
        <v>39</v>
      </c>
      <c r="E118" s="195">
        <v>725</v>
      </c>
      <c r="F118" s="195">
        <v>490</v>
      </c>
      <c r="G118" s="195">
        <v>1136</v>
      </c>
      <c r="H118" s="195">
        <v>754</v>
      </c>
      <c r="I118" s="212">
        <f t="shared" si="64"/>
        <v>-0.33626760563380287</v>
      </c>
      <c r="J118" s="196">
        <f t="shared" si="61"/>
        <v>18.333333333333332</v>
      </c>
      <c r="K118" s="195">
        <f t="shared" si="62"/>
        <v>-382</v>
      </c>
      <c r="L118" s="195">
        <f t="shared" si="63"/>
        <v>715</v>
      </c>
      <c r="M118" s="196">
        <f t="shared" si="60"/>
        <v>1.8517649849906343E-4</v>
      </c>
    </row>
    <row r="119" spans="2:13" x14ac:dyDescent="0.25">
      <c r="B119" s="199" t="s">
        <v>147</v>
      </c>
      <c r="C119" s="200">
        <f t="shared" ref="C119" si="65">C111-SUM(C112:C118)</f>
        <v>8497</v>
      </c>
      <c r="D119" s="200">
        <f t="shared" ref="D119:E119" si="66">D111-SUM(D112:D118)</f>
        <v>7430</v>
      </c>
      <c r="E119" s="200">
        <f t="shared" si="66"/>
        <v>21619</v>
      </c>
      <c r="F119" s="200">
        <f t="shared" ref="F119:H119" si="67">F111-SUM(F112:F118)</f>
        <v>22974</v>
      </c>
      <c r="G119" s="200">
        <f t="shared" si="67"/>
        <v>26718</v>
      </c>
      <c r="H119" s="200">
        <f t="shared" si="67"/>
        <v>29089</v>
      </c>
      <c r="I119" s="213">
        <f t="shared" si="64"/>
        <v>8.8741672280859385E-2</v>
      </c>
      <c r="J119" s="201">
        <f t="shared" si="61"/>
        <v>2.9150740242261102</v>
      </c>
      <c r="K119" s="200">
        <f>H119-G119</f>
        <v>2371</v>
      </c>
      <c r="L119" s="200">
        <f t="shared" si="63"/>
        <v>21659</v>
      </c>
      <c r="M119" s="201">
        <f t="shared" si="60"/>
        <v>7.1440307225984828E-3</v>
      </c>
    </row>
    <row r="120" spans="2:13" x14ac:dyDescent="0.25">
      <c r="B120" s="186" t="s">
        <v>53</v>
      </c>
      <c r="C120" s="184"/>
      <c r="D120" s="184"/>
      <c r="E120" s="184"/>
      <c r="F120" s="184"/>
      <c r="G120" s="184"/>
      <c r="H120" s="184"/>
      <c r="I120" s="185"/>
      <c r="J120" s="185"/>
      <c r="K120" s="185"/>
      <c r="L120" s="184"/>
      <c r="M120" s="184"/>
    </row>
    <row r="121" spans="2:13" x14ac:dyDescent="0.25">
      <c r="B121" s="187" t="s">
        <v>70</v>
      </c>
      <c r="C121" s="209">
        <v>67052</v>
      </c>
      <c r="D121" s="209">
        <v>103599</v>
      </c>
      <c r="E121" s="209">
        <v>157983</v>
      </c>
      <c r="F121" s="209">
        <v>174312</v>
      </c>
      <c r="G121" s="209">
        <v>181820</v>
      </c>
      <c r="H121" s="209">
        <v>203413</v>
      </c>
      <c r="I121" s="210">
        <f>IFERROR(H121/G121-1,"-")</f>
        <v>0.11876031239687612</v>
      </c>
      <c r="J121" s="210">
        <f>IFERROR(H121/D121-1,"-")</f>
        <v>0.96346489830982929</v>
      </c>
      <c r="K121" s="209">
        <f>H121-G121</f>
        <v>21593</v>
      </c>
      <c r="L121" s="209">
        <f>H121-D121</f>
        <v>99814</v>
      </c>
      <c r="M121" s="210">
        <f t="shared" ref="M121:M133" si="68">H121/H$9</f>
        <v>4.995664070184349E-2</v>
      </c>
    </row>
    <row r="122" spans="2:13" x14ac:dyDescent="0.25">
      <c r="B122" s="190" t="s">
        <v>99</v>
      </c>
      <c r="C122" s="191">
        <v>36330</v>
      </c>
      <c r="D122" s="191">
        <v>68840</v>
      </c>
      <c r="E122" s="191">
        <v>97242</v>
      </c>
      <c r="F122" s="191">
        <v>108324</v>
      </c>
      <c r="G122" s="191">
        <v>115851</v>
      </c>
      <c r="H122" s="191">
        <v>132246</v>
      </c>
      <c r="I122" s="211">
        <f>IFERROR(H122/G122-1,"-")</f>
        <v>0.14151798430742946</v>
      </c>
      <c r="J122" s="192">
        <f t="shared" ref="J122:J133" si="69">IFERROR(H122/D122-1,"-")</f>
        <v>0.9210633352701918</v>
      </c>
      <c r="K122" s="191">
        <f t="shared" ref="K122:K132" si="70">H122-G122</f>
        <v>16395</v>
      </c>
      <c r="L122" s="191">
        <f t="shared" ref="L122:L133" si="71">H122-D122</f>
        <v>63406</v>
      </c>
      <c r="M122" s="192">
        <f t="shared" si="68"/>
        <v>3.2478582520566505E-2</v>
      </c>
    </row>
    <row r="123" spans="2:13" x14ac:dyDescent="0.25">
      <c r="B123" s="194" t="s">
        <v>105</v>
      </c>
      <c r="C123" s="195">
        <v>16691</v>
      </c>
      <c r="D123" s="195">
        <v>34948</v>
      </c>
      <c r="E123" s="195">
        <v>50706</v>
      </c>
      <c r="F123" s="195">
        <v>48815</v>
      </c>
      <c r="G123" s="195">
        <v>57435</v>
      </c>
      <c r="H123" s="195">
        <v>70232</v>
      </c>
      <c r="I123" s="212">
        <f>IFERROR(H123/G123-1,"-")</f>
        <v>0.22280839209541226</v>
      </c>
      <c r="J123" s="196">
        <f t="shared" si="69"/>
        <v>1.0096142840792033</v>
      </c>
      <c r="K123" s="195">
        <f t="shared" si="70"/>
        <v>12797</v>
      </c>
      <c r="L123" s="195">
        <f t="shared" si="71"/>
        <v>35284</v>
      </c>
      <c r="M123" s="196">
        <f t="shared" si="68"/>
        <v>1.7248429499451223E-2</v>
      </c>
    </row>
    <row r="124" spans="2:13" x14ac:dyDescent="0.25">
      <c r="B124" s="194" t="s">
        <v>102</v>
      </c>
      <c r="C124" s="195">
        <v>19639</v>
      </c>
      <c r="D124" s="195">
        <v>33892</v>
      </c>
      <c r="E124" s="195">
        <v>46536</v>
      </c>
      <c r="F124" s="195">
        <v>59509</v>
      </c>
      <c r="G124" s="195">
        <v>58416</v>
      </c>
      <c r="H124" s="195">
        <v>62014</v>
      </c>
      <c r="I124" s="212">
        <f>IFERROR(H124/G124-1,"-")</f>
        <v>6.1592714324842479E-2</v>
      </c>
      <c r="J124" s="196">
        <f t="shared" si="69"/>
        <v>0.8297533341201464</v>
      </c>
      <c r="K124" s="195">
        <f t="shared" si="70"/>
        <v>3598</v>
      </c>
      <c r="L124" s="195">
        <f t="shared" si="71"/>
        <v>28122</v>
      </c>
      <c r="M124" s="196">
        <f t="shared" si="68"/>
        <v>1.5230153021115278E-2</v>
      </c>
    </row>
    <row r="125" spans="2:13" x14ac:dyDescent="0.25">
      <c r="B125" s="190" t="s">
        <v>109</v>
      </c>
      <c r="C125" s="191">
        <v>30722</v>
      </c>
      <c r="D125" s="191">
        <v>34759</v>
      </c>
      <c r="E125" s="191">
        <v>60741</v>
      </c>
      <c r="F125" s="191">
        <v>65988</v>
      </c>
      <c r="G125" s="191">
        <v>65969</v>
      </c>
      <c r="H125" s="191">
        <v>71167</v>
      </c>
      <c r="I125" s="211">
        <f>IFERROR(H125/G125-1,"-")</f>
        <v>7.8794585335536294E-2</v>
      </c>
      <c r="J125" s="192">
        <f t="shared" si="69"/>
        <v>1.0474409505451825</v>
      </c>
      <c r="K125" s="191">
        <f t="shared" si="70"/>
        <v>5198</v>
      </c>
      <c r="L125" s="191">
        <f t="shared" si="71"/>
        <v>36408</v>
      </c>
      <c r="M125" s="192">
        <f t="shared" si="68"/>
        <v>1.7478058181276988E-2</v>
      </c>
    </row>
    <row r="126" spans="2:13" x14ac:dyDescent="0.25">
      <c r="B126" s="194" t="s">
        <v>112</v>
      </c>
      <c r="C126" s="195">
        <v>3019</v>
      </c>
      <c r="D126" s="195">
        <v>1336</v>
      </c>
      <c r="E126" s="195">
        <v>6689</v>
      </c>
      <c r="F126" s="195">
        <v>8681</v>
      </c>
      <c r="G126" s="195">
        <v>7798</v>
      </c>
      <c r="H126" s="195">
        <v>7350</v>
      </c>
      <c r="I126" s="212">
        <f t="shared" ref="I126:I133" si="72">IFERROR(H126/G126-1,"-")</f>
        <v>-5.7450628366247702E-2</v>
      </c>
      <c r="J126" s="196">
        <f t="shared" si="69"/>
        <v>4.5014970059880239</v>
      </c>
      <c r="K126" s="195">
        <f t="shared" si="70"/>
        <v>-448</v>
      </c>
      <c r="L126" s="195">
        <f t="shared" si="71"/>
        <v>6014</v>
      </c>
      <c r="M126" s="196">
        <f t="shared" si="68"/>
        <v>1.805102472106255E-3</v>
      </c>
    </row>
    <row r="127" spans="2:13" x14ac:dyDescent="0.25">
      <c r="B127" s="194" t="s">
        <v>115</v>
      </c>
      <c r="C127" s="195">
        <v>3185</v>
      </c>
      <c r="D127" s="195">
        <v>3469</v>
      </c>
      <c r="E127" s="195">
        <v>6371</v>
      </c>
      <c r="F127" s="195">
        <v>9226</v>
      </c>
      <c r="G127" s="195">
        <v>8815</v>
      </c>
      <c r="H127" s="195">
        <v>9658</v>
      </c>
      <c r="I127" s="212">
        <f t="shared" si="72"/>
        <v>9.5632444696539975E-2</v>
      </c>
      <c r="J127" s="196">
        <f t="shared" si="69"/>
        <v>1.7840876333237246</v>
      </c>
      <c r="K127" s="195">
        <f t="shared" si="70"/>
        <v>843</v>
      </c>
      <c r="L127" s="195">
        <f t="shared" si="71"/>
        <v>6189</v>
      </c>
      <c r="M127" s="196">
        <f t="shared" si="68"/>
        <v>2.3719292075649267E-3</v>
      </c>
    </row>
    <row r="128" spans="2:13" x14ac:dyDescent="0.25">
      <c r="B128" s="194" t="s">
        <v>118</v>
      </c>
      <c r="C128" s="195">
        <v>2224</v>
      </c>
      <c r="D128" s="195">
        <v>4883</v>
      </c>
      <c r="E128" s="195">
        <v>5877</v>
      </c>
      <c r="F128" s="195">
        <v>6321</v>
      </c>
      <c r="G128" s="195">
        <v>6241</v>
      </c>
      <c r="H128" s="195">
        <v>6790</v>
      </c>
      <c r="I128" s="212">
        <f t="shared" si="72"/>
        <v>8.7966672007691038E-2</v>
      </c>
      <c r="J128" s="196">
        <f t="shared" si="69"/>
        <v>0.39053860331763257</v>
      </c>
      <c r="K128" s="195">
        <f t="shared" si="70"/>
        <v>549</v>
      </c>
      <c r="L128" s="195">
        <f t="shared" si="71"/>
        <v>1907</v>
      </c>
      <c r="M128" s="196">
        <f t="shared" si="68"/>
        <v>1.6675708551838735E-3</v>
      </c>
    </row>
    <row r="129" spans="2:13" x14ac:dyDescent="0.25">
      <c r="B129" s="194" t="s">
        <v>125</v>
      </c>
      <c r="C129" s="195">
        <v>594</v>
      </c>
      <c r="D129" s="195">
        <v>666</v>
      </c>
      <c r="E129" s="195">
        <v>1853</v>
      </c>
      <c r="F129" s="195">
        <v>1896</v>
      </c>
      <c r="G129" s="195">
        <v>1689</v>
      </c>
      <c r="H129" s="195">
        <v>1970</v>
      </c>
      <c r="I129" s="212">
        <f t="shared" si="72"/>
        <v>0.16637063351095316</v>
      </c>
      <c r="J129" s="196">
        <f t="shared" si="69"/>
        <v>1.9579579579579578</v>
      </c>
      <c r="K129" s="195">
        <f t="shared" si="70"/>
        <v>281</v>
      </c>
      <c r="L129" s="195">
        <f t="shared" si="71"/>
        <v>1304</v>
      </c>
      <c r="M129" s="196">
        <f t="shared" si="68"/>
        <v>4.8381658095909147E-4</v>
      </c>
    </row>
    <row r="130" spans="2:13" x14ac:dyDescent="0.25">
      <c r="B130" s="194" t="s">
        <v>121</v>
      </c>
      <c r="C130" s="195">
        <v>578</v>
      </c>
      <c r="D130" s="195">
        <v>578</v>
      </c>
      <c r="E130" s="195">
        <v>1263</v>
      </c>
      <c r="F130" s="195">
        <v>1296</v>
      </c>
      <c r="G130" s="195">
        <v>1391</v>
      </c>
      <c r="H130" s="195">
        <v>1717</v>
      </c>
      <c r="I130" s="212">
        <f t="shared" si="72"/>
        <v>0.23436376707404749</v>
      </c>
      <c r="J130" s="196">
        <f t="shared" si="69"/>
        <v>1.9705882352941178</v>
      </c>
      <c r="K130" s="195">
        <f t="shared" si="70"/>
        <v>326</v>
      </c>
      <c r="L130" s="195">
        <f t="shared" si="71"/>
        <v>1139</v>
      </c>
      <c r="M130" s="196">
        <f t="shared" si="68"/>
        <v>4.2168176117094418E-4</v>
      </c>
    </row>
    <row r="131" spans="2:13" x14ac:dyDescent="0.25">
      <c r="B131" s="194" t="s">
        <v>130</v>
      </c>
      <c r="C131" s="195">
        <v>637</v>
      </c>
      <c r="D131" s="195">
        <v>98</v>
      </c>
      <c r="E131" s="195">
        <v>655</v>
      </c>
      <c r="F131" s="195">
        <v>861</v>
      </c>
      <c r="G131" s="195">
        <v>946</v>
      </c>
      <c r="H131" s="195">
        <v>761</v>
      </c>
      <c r="I131" s="212">
        <f t="shared" si="72"/>
        <v>-0.19556025369978858</v>
      </c>
      <c r="J131" s="196">
        <f t="shared" si="69"/>
        <v>6.7653061224489797</v>
      </c>
      <c r="K131" s="195">
        <f t="shared" si="70"/>
        <v>-185</v>
      </c>
      <c r="L131" s="195">
        <f t="shared" si="71"/>
        <v>663</v>
      </c>
      <c r="M131" s="196">
        <f t="shared" si="68"/>
        <v>1.868956437105932E-4</v>
      </c>
    </row>
    <row r="132" spans="2:13" x14ac:dyDescent="0.25">
      <c r="B132" s="194" t="s">
        <v>133</v>
      </c>
      <c r="C132" s="195">
        <v>1010</v>
      </c>
      <c r="D132" s="195">
        <v>227</v>
      </c>
      <c r="E132" s="195">
        <v>1105</v>
      </c>
      <c r="F132" s="195">
        <v>1564</v>
      </c>
      <c r="G132" s="195">
        <v>1427</v>
      </c>
      <c r="H132" s="195">
        <v>1457</v>
      </c>
      <c r="I132" s="212">
        <f t="shared" si="72"/>
        <v>2.1023125437981793E-2</v>
      </c>
      <c r="J132" s="196">
        <f t="shared" si="69"/>
        <v>5.4185022026431717</v>
      </c>
      <c r="K132" s="195">
        <f t="shared" si="70"/>
        <v>30</v>
      </c>
      <c r="L132" s="195">
        <f t="shared" si="71"/>
        <v>1230</v>
      </c>
      <c r="M132" s="196">
        <f t="shared" si="68"/>
        <v>3.5782779617126717E-4</v>
      </c>
    </row>
    <row r="133" spans="2:13" x14ac:dyDescent="0.25">
      <c r="B133" s="199" t="s">
        <v>147</v>
      </c>
      <c r="C133" s="200">
        <f t="shared" ref="C133" si="73">C125-SUM(C126:C132)</f>
        <v>19475</v>
      </c>
      <c r="D133" s="200">
        <f t="shared" ref="D133:E133" si="74">D125-SUM(D126:D132)</f>
        <v>23502</v>
      </c>
      <c r="E133" s="200">
        <f t="shared" si="74"/>
        <v>36928</v>
      </c>
      <c r="F133" s="200">
        <f t="shared" ref="F133:H133" si="75">F125-SUM(F126:F132)</f>
        <v>36143</v>
      </c>
      <c r="G133" s="200">
        <f t="shared" si="75"/>
        <v>37662</v>
      </c>
      <c r="H133" s="200">
        <f t="shared" si="75"/>
        <v>41464</v>
      </c>
      <c r="I133" s="213">
        <f t="shared" si="72"/>
        <v>0.10095056024640225</v>
      </c>
      <c r="J133" s="201">
        <f t="shared" si="69"/>
        <v>0.76427538081865376</v>
      </c>
      <c r="K133" s="200">
        <f>H133-G133</f>
        <v>3802</v>
      </c>
      <c r="L133" s="200">
        <f t="shared" si="71"/>
        <v>17962</v>
      </c>
      <c r="M133" s="201">
        <f t="shared" si="68"/>
        <v>1.0183233864410035E-2</v>
      </c>
    </row>
    <row r="134" spans="2:13" x14ac:dyDescent="0.25">
      <c r="B134" s="186" t="s">
        <v>54</v>
      </c>
      <c r="C134" s="184"/>
      <c r="D134" s="184"/>
      <c r="E134" s="184"/>
      <c r="F134" s="184"/>
      <c r="G134" s="184"/>
      <c r="H134" s="184"/>
      <c r="I134" s="185"/>
      <c r="J134" s="185"/>
      <c r="K134" s="185"/>
      <c r="L134" s="184"/>
      <c r="M134" s="184"/>
    </row>
    <row r="135" spans="2:13" x14ac:dyDescent="0.25">
      <c r="B135" s="187" t="s">
        <v>70</v>
      </c>
      <c r="C135" s="209">
        <v>71319</v>
      </c>
      <c r="D135" s="209">
        <v>77584</v>
      </c>
      <c r="E135" s="209">
        <v>190426</v>
      </c>
      <c r="F135" s="209">
        <v>205238</v>
      </c>
      <c r="G135" s="209">
        <v>213816</v>
      </c>
      <c r="H135" s="209">
        <v>213733</v>
      </c>
      <c r="I135" s="210">
        <f>IFERROR(H135/G135-1,"-")</f>
        <v>-3.8818423317243944E-4</v>
      </c>
      <c r="J135" s="210">
        <f>IFERROR(H135/D135-1,"-")</f>
        <v>1.7548592493297588</v>
      </c>
      <c r="K135" s="209">
        <f>H135-G135</f>
        <v>-83</v>
      </c>
      <c r="L135" s="209">
        <f>H135-D135</f>
        <v>136149</v>
      </c>
      <c r="M135" s="210">
        <f t="shared" ref="M135:M147" si="76">H135/H$9</f>
        <v>5.2491151927984515E-2</v>
      </c>
    </row>
    <row r="136" spans="2:13" x14ac:dyDescent="0.25">
      <c r="B136" s="190" t="s">
        <v>99</v>
      </c>
      <c r="C136" s="191">
        <v>14652</v>
      </c>
      <c r="D136" s="191">
        <v>37616</v>
      </c>
      <c r="E136" s="191">
        <v>24500</v>
      </c>
      <c r="F136" s="191">
        <v>26474</v>
      </c>
      <c r="G136" s="191">
        <v>22996</v>
      </c>
      <c r="H136" s="191">
        <v>26539</v>
      </c>
      <c r="I136" s="211">
        <f>IFERROR(H136/G136-1,"-")</f>
        <v>0.15407027309097243</v>
      </c>
      <c r="J136" s="192">
        <f t="shared" ref="J136:J147" si="77">IFERROR(H136/D136-1,"-")</f>
        <v>-0.29447575499787326</v>
      </c>
      <c r="K136" s="191">
        <f t="shared" ref="K136:K146" si="78">H136-G136</f>
        <v>3543</v>
      </c>
      <c r="L136" s="191">
        <f t="shared" ref="L136:L147" si="79">H136-D136</f>
        <v>-11077</v>
      </c>
      <c r="M136" s="192">
        <f t="shared" si="76"/>
        <v>6.5177706812554964E-3</v>
      </c>
    </row>
    <row r="137" spans="2:13" x14ac:dyDescent="0.25">
      <c r="B137" s="194" t="s">
        <v>105</v>
      </c>
      <c r="C137" s="195">
        <v>10065</v>
      </c>
      <c r="D137" s="195">
        <v>28597</v>
      </c>
      <c r="E137" s="195">
        <v>17244</v>
      </c>
      <c r="F137" s="195">
        <v>17464</v>
      </c>
      <c r="G137" s="195">
        <v>15005</v>
      </c>
      <c r="H137" s="195">
        <v>16291</v>
      </c>
      <c r="I137" s="212">
        <f>IFERROR(H137/G137-1,"-")</f>
        <v>8.5704765078307155E-2</v>
      </c>
      <c r="J137" s="196">
        <f t="shared" si="77"/>
        <v>-0.43032485925097042</v>
      </c>
      <c r="K137" s="195">
        <f t="shared" si="78"/>
        <v>1286</v>
      </c>
      <c r="L137" s="195">
        <f t="shared" si="79"/>
        <v>-12306</v>
      </c>
      <c r="M137" s="196">
        <f t="shared" si="76"/>
        <v>4.0009420915759182E-3</v>
      </c>
    </row>
    <row r="138" spans="2:13" x14ac:dyDescent="0.25">
      <c r="B138" s="194" t="s">
        <v>102</v>
      </c>
      <c r="C138" s="195">
        <v>4587</v>
      </c>
      <c r="D138" s="195">
        <v>9019</v>
      </c>
      <c r="E138" s="195">
        <v>7256</v>
      </c>
      <c r="F138" s="195">
        <v>9010</v>
      </c>
      <c r="G138" s="195">
        <v>7991</v>
      </c>
      <c r="H138" s="195">
        <v>10248</v>
      </c>
      <c r="I138" s="212">
        <f>IFERROR(H138/G138-1,"-")</f>
        <v>0.28244274809160297</v>
      </c>
      <c r="J138" s="196">
        <f t="shared" si="77"/>
        <v>0.1362678789222751</v>
      </c>
      <c r="K138" s="195">
        <f t="shared" si="78"/>
        <v>2257</v>
      </c>
      <c r="L138" s="195">
        <f t="shared" si="79"/>
        <v>1229</v>
      </c>
      <c r="M138" s="196">
        <f t="shared" si="76"/>
        <v>2.5168285896795782E-3</v>
      </c>
    </row>
    <row r="139" spans="2:13" x14ac:dyDescent="0.25">
      <c r="B139" s="190" t="s">
        <v>109</v>
      </c>
      <c r="C139" s="191">
        <v>56667</v>
      </c>
      <c r="D139" s="191">
        <v>39968</v>
      </c>
      <c r="E139" s="191">
        <v>165926</v>
      </c>
      <c r="F139" s="191">
        <v>178764</v>
      </c>
      <c r="G139" s="191">
        <v>190820</v>
      </c>
      <c r="H139" s="191">
        <v>187194</v>
      </c>
      <c r="I139" s="211">
        <f>IFERROR(H139/G139-1,"-")</f>
        <v>-1.9002201027146004E-2</v>
      </c>
      <c r="J139" s="192">
        <f t="shared" si="77"/>
        <v>3.6835968775020014</v>
      </c>
      <c r="K139" s="191">
        <f t="shared" si="78"/>
        <v>-3626</v>
      </c>
      <c r="L139" s="191">
        <f t="shared" si="79"/>
        <v>147226</v>
      </c>
      <c r="M139" s="192">
        <f t="shared" si="76"/>
        <v>4.597338124672902E-2</v>
      </c>
    </row>
    <row r="140" spans="2:13" x14ac:dyDescent="0.25">
      <c r="B140" s="194" t="s">
        <v>112</v>
      </c>
      <c r="C140" s="195">
        <v>22281</v>
      </c>
      <c r="D140" s="195">
        <v>6710</v>
      </c>
      <c r="E140" s="195">
        <v>71304</v>
      </c>
      <c r="F140" s="195">
        <v>77058</v>
      </c>
      <c r="G140" s="195">
        <v>86387</v>
      </c>
      <c r="H140" s="195">
        <v>87998</v>
      </c>
      <c r="I140" s="212">
        <f t="shared" ref="I140:I147" si="80">IFERROR(H140/G140-1,"-")</f>
        <v>1.8648639262851985E-2</v>
      </c>
      <c r="J140" s="196">
        <f t="shared" si="77"/>
        <v>12.11445603576751</v>
      </c>
      <c r="K140" s="195">
        <f t="shared" si="78"/>
        <v>1611</v>
      </c>
      <c r="L140" s="195">
        <f t="shared" si="79"/>
        <v>81288</v>
      </c>
      <c r="M140" s="196">
        <f t="shared" si="76"/>
        <v>2.161162004631377E-2</v>
      </c>
    </row>
    <row r="141" spans="2:13" x14ac:dyDescent="0.25">
      <c r="B141" s="194" t="s">
        <v>115</v>
      </c>
      <c r="C141" s="195">
        <v>4317</v>
      </c>
      <c r="D141" s="195">
        <v>3916</v>
      </c>
      <c r="E141" s="195">
        <v>10802</v>
      </c>
      <c r="F141" s="195">
        <v>14655</v>
      </c>
      <c r="G141" s="195">
        <v>15235</v>
      </c>
      <c r="H141" s="195">
        <v>14913</v>
      </c>
      <c r="I141" s="212">
        <f t="shared" si="80"/>
        <v>-2.1135543157203784E-2</v>
      </c>
      <c r="J141" s="196">
        <f t="shared" si="77"/>
        <v>2.8082226762002045</v>
      </c>
      <c r="K141" s="195">
        <f t="shared" si="78"/>
        <v>-322</v>
      </c>
      <c r="L141" s="195">
        <f t="shared" si="79"/>
        <v>10997</v>
      </c>
      <c r="M141" s="196">
        <f t="shared" si="76"/>
        <v>3.6625160770776301E-3</v>
      </c>
    </row>
    <row r="142" spans="2:13" x14ac:dyDescent="0.25">
      <c r="B142" s="194" t="s">
        <v>118</v>
      </c>
      <c r="C142" s="195">
        <v>4696</v>
      </c>
      <c r="D142" s="195">
        <v>8530</v>
      </c>
      <c r="E142" s="195">
        <v>20585</v>
      </c>
      <c r="F142" s="195">
        <v>19204</v>
      </c>
      <c r="G142" s="195">
        <v>19029</v>
      </c>
      <c r="H142" s="195">
        <v>17301</v>
      </c>
      <c r="I142" s="212">
        <f t="shared" si="80"/>
        <v>-9.0808765568343053E-2</v>
      </c>
      <c r="J142" s="196">
        <f t="shared" si="77"/>
        <v>1.0282532239155922</v>
      </c>
      <c r="K142" s="195">
        <f t="shared" si="78"/>
        <v>-1728</v>
      </c>
      <c r="L142" s="195">
        <f t="shared" si="79"/>
        <v>8771</v>
      </c>
      <c r="M142" s="196">
        <f t="shared" si="76"/>
        <v>4.248990186382356E-3</v>
      </c>
    </row>
    <row r="143" spans="2:13" x14ac:dyDescent="0.25">
      <c r="B143" s="194" t="s">
        <v>125</v>
      </c>
      <c r="C143" s="195">
        <v>936</v>
      </c>
      <c r="D143" s="195">
        <v>1217</v>
      </c>
      <c r="E143" s="195">
        <v>7986</v>
      </c>
      <c r="F143" s="195">
        <v>6796</v>
      </c>
      <c r="G143" s="195">
        <v>4730</v>
      </c>
      <c r="H143" s="195">
        <v>4410</v>
      </c>
      <c r="I143" s="212">
        <f t="shared" si="80"/>
        <v>-6.7653276955602526E-2</v>
      </c>
      <c r="J143" s="196">
        <f t="shared" si="77"/>
        <v>2.6236647493837304</v>
      </c>
      <c r="K143" s="195">
        <f t="shared" si="78"/>
        <v>-320</v>
      </c>
      <c r="L143" s="195">
        <f t="shared" si="79"/>
        <v>3193</v>
      </c>
      <c r="M143" s="196">
        <f t="shared" si="76"/>
        <v>1.083061483263753E-3</v>
      </c>
    </row>
    <row r="144" spans="2:13" x14ac:dyDescent="0.25">
      <c r="B144" s="194" t="s">
        <v>121</v>
      </c>
      <c r="C144" s="195">
        <v>1567</v>
      </c>
      <c r="D144" s="195">
        <v>1759</v>
      </c>
      <c r="E144" s="195">
        <v>3300</v>
      </c>
      <c r="F144" s="195">
        <v>3893</v>
      </c>
      <c r="G144" s="195">
        <v>4292</v>
      </c>
      <c r="H144" s="195">
        <v>3200</v>
      </c>
      <c r="I144" s="212">
        <f t="shared" si="80"/>
        <v>-0.25442684063373722</v>
      </c>
      <c r="J144" s="196">
        <f t="shared" si="77"/>
        <v>0.81921546333143835</v>
      </c>
      <c r="K144" s="195">
        <f t="shared" si="78"/>
        <v>-1092</v>
      </c>
      <c r="L144" s="195">
        <f t="shared" si="79"/>
        <v>1441</v>
      </c>
      <c r="M144" s="196">
        <f t="shared" si="76"/>
        <v>7.8589495384217905E-4</v>
      </c>
    </row>
    <row r="145" spans="2:13" x14ac:dyDescent="0.25">
      <c r="B145" s="194" t="s">
        <v>130</v>
      </c>
      <c r="C145" s="195">
        <v>1963</v>
      </c>
      <c r="D145" s="195">
        <v>67</v>
      </c>
      <c r="E145" s="195">
        <v>1898</v>
      </c>
      <c r="F145" s="195">
        <v>2272</v>
      </c>
      <c r="G145" s="195">
        <v>2036</v>
      </c>
      <c r="H145" s="195">
        <v>2333</v>
      </c>
      <c r="I145" s="212">
        <f t="shared" si="80"/>
        <v>0.1458742632612966</v>
      </c>
      <c r="J145" s="196">
        <f t="shared" si="77"/>
        <v>33.820895522388057</v>
      </c>
      <c r="K145" s="195">
        <f t="shared" si="78"/>
        <v>297</v>
      </c>
      <c r="L145" s="195">
        <f t="shared" si="79"/>
        <v>2266</v>
      </c>
      <c r="M145" s="196">
        <f t="shared" si="76"/>
        <v>5.7296653978556363E-4</v>
      </c>
    </row>
    <row r="146" spans="2:13" x14ac:dyDescent="0.25">
      <c r="B146" s="194" t="s">
        <v>133</v>
      </c>
      <c r="C146" s="195">
        <v>3936</v>
      </c>
      <c r="D146" s="195">
        <v>53</v>
      </c>
      <c r="E146" s="195">
        <v>926</v>
      </c>
      <c r="F146" s="195">
        <v>1641</v>
      </c>
      <c r="G146" s="195">
        <v>1499</v>
      </c>
      <c r="H146" s="195">
        <v>1133</v>
      </c>
      <c r="I146" s="212">
        <f t="shared" si="80"/>
        <v>-0.24416277518345564</v>
      </c>
      <c r="J146" s="196">
        <f t="shared" si="77"/>
        <v>20.377358490566039</v>
      </c>
      <c r="K146" s="195">
        <f t="shared" si="78"/>
        <v>-366</v>
      </c>
      <c r="L146" s="195">
        <f t="shared" si="79"/>
        <v>1080</v>
      </c>
      <c r="M146" s="196">
        <f t="shared" si="76"/>
        <v>2.7825593209474653E-4</v>
      </c>
    </row>
    <row r="147" spans="2:13" x14ac:dyDescent="0.25">
      <c r="B147" s="199" t="s">
        <v>147</v>
      </c>
      <c r="C147" s="200">
        <f t="shared" ref="C147" si="81">C139-SUM(C140:C146)</f>
        <v>16971</v>
      </c>
      <c r="D147" s="200">
        <f t="shared" ref="D147:E147" si="82">D139-SUM(D140:D146)</f>
        <v>17716</v>
      </c>
      <c r="E147" s="200">
        <f t="shared" si="82"/>
        <v>49125</v>
      </c>
      <c r="F147" s="200">
        <f t="shared" ref="F147:H147" si="83">F139-SUM(F140:F146)</f>
        <v>53245</v>
      </c>
      <c r="G147" s="200">
        <f t="shared" si="83"/>
        <v>57612</v>
      </c>
      <c r="H147" s="200">
        <f t="shared" si="83"/>
        <v>55906</v>
      </c>
      <c r="I147" s="213">
        <f t="shared" si="80"/>
        <v>-2.9611886412552968E-2</v>
      </c>
      <c r="J147" s="201">
        <f t="shared" si="77"/>
        <v>2.155678482727478</v>
      </c>
      <c r="K147" s="200">
        <f>H147-G147</f>
        <v>-1706</v>
      </c>
      <c r="L147" s="200">
        <f t="shared" si="79"/>
        <v>38190</v>
      </c>
      <c r="M147" s="201">
        <f t="shared" si="76"/>
        <v>1.3730076027969019E-2</v>
      </c>
    </row>
    <row r="148" spans="2:13" x14ac:dyDescent="0.25">
      <c r="B148" s="186" t="s">
        <v>55</v>
      </c>
      <c r="C148" s="184"/>
      <c r="D148" s="184"/>
      <c r="E148" s="184"/>
      <c r="F148" s="184"/>
      <c r="G148" s="184"/>
      <c r="H148" s="184"/>
      <c r="I148" s="185"/>
      <c r="J148" s="185"/>
      <c r="K148" s="185"/>
      <c r="L148" s="184"/>
      <c r="M148" s="184"/>
    </row>
    <row r="149" spans="2:13" x14ac:dyDescent="0.25">
      <c r="B149" s="187" t="s">
        <v>70</v>
      </c>
      <c r="C149" s="209">
        <v>31688</v>
      </c>
      <c r="D149" s="209">
        <v>42879</v>
      </c>
      <c r="E149" s="209">
        <v>81548</v>
      </c>
      <c r="F149" s="209">
        <v>89780</v>
      </c>
      <c r="G149" s="209">
        <v>94601</v>
      </c>
      <c r="H149" s="209">
        <v>94517</v>
      </c>
      <c r="I149" s="210">
        <f>IFERROR(H149/G149-1,"-")</f>
        <v>-8.8793987378565919E-4</v>
      </c>
      <c r="J149" s="210">
        <f>IFERROR(H149/D149-1,"-")</f>
        <v>1.2042724876979407</v>
      </c>
      <c r="K149" s="209">
        <f>H149-G149</f>
        <v>-84</v>
      </c>
      <c r="L149" s="209">
        <f>H149-D149</f>
        <v>51638</v>
      </c>
      <c r="M149" s="210">
        <f t="shared" ref="M149:M161" si="84">H149/H$9</f>
        <v>2.3212635422594136E-2</v>
      </c>
    </row>
    <row r="150" spans="2:13" x14ac:dyDescent="0.25">
      <c r="B150" s="190" t="s">
        <v>99</v>
      </c>
      <c r="C150" s="191">
        <v>14030</v>
      </c>
      <c r="D150" s="191">
        <v>27673</v>
      </c>
      <c r="E150" s="191">
        <v>44261</v>
      </c>
      <c r="F150" s="191">
        <v>46703</v>
      </c>
      <c r="G150" s="191">
        <v>42965</v>
      </c>
      <c r="H150" s="191">
        <v>42107</v>
      </c>
      <c r="I150" s="211">
        <f>IFERROR(H150/G150-1,"-")</f>
        <v>-1.9969742813918279E-2</v>
      </c>
      <c r="J150" s="192">
        <f t="shared" ref="J150:J161" si="85">IFERROR(H150/D150-1,"-")</f>
        <v>0.52159144292270443</v>
      </c>
      <c r="K150" s="191">
        <f t="shared" ref="K150:K160" si="86">H150-G150</f>
        <v>-858</v>
      </c>
      <c r="L150" s="191">
        <f t="shared" ref="L150:L161" si="87">H150-D150</f>
        <v>14434</v>
      </c>
      <c r="M150" s="192">
        <f t="shared" si="84"/>
        <v>1.0341149631697698E-2</v>
      </c>
    </row>
    <row r="151" spans="2:13" x14ac:dyDescent="0.25">
      <c r="B151" s="194" t="s">
        <v>105</v>
      </c>
      <c r="C151" s="195">
        <v>7709</v>
      </c>
      <c r="D151" s="195">
        <v>22017</v>
      </c>
      <c r="E151" s="195">
        <v>31924</v>
      </c>
      <c r="F151" s="195">
        <v>33975</v>
      </c>
      <c r="G151" s="195">
        <v>28847</v>
      </c>
      <c r="H151" s="195">
        <v>25974</v>
      </c>
      <c r="I151" s="212">
        <f>IFERROR(H151/G151-1,"-")</f>
        <v>-9.9594411897251045E-2</v>
      </c>
      <c r="J151" s="196">
        <f t="shared" si="85"/>
        <v>0.17972475814143607</v>
      </c>
      <c r="K151" s="195">
        <f t="shared" si="86"/>
        <v>-2873</v>
      </c>
      <c r="L151" s="195">
        <f t="shared" si="87"/>
        <v>3957</v>
      </c>
      <c r="M151" s="196">
        <f t="shared" si="84"/>
        <v>6.3790111034677365E-3</v>
      </c>
    </row>
    <row r="152" spans="2:13" x14ac:dyDescent="0.25">
      <c r="B152" s="194" t="s">
        <v>102</v>
      </c>
      <c r="C152" s="195">
        <v>6321</v>
      </c>
      <c r="D152" s="195">
        <v>5656</v>
      </c>
      <c r="E152" s="195">
        <v>12337</v>
      </c>
      <c r="F152" s="195">
        <v>12728</v>
      </c>
      <c r="G152" s="195">
        <v>14118</v>
      </c>
      <c r="H152" s="195">
        <v>16133</v>
      </c>
      <c r="I152" s="212">
        <f>IFERROR(H152/G152-1,"-")</f>
        <v>0.14272559852670352</v>
      </c>
      <c r="J152" s="196">
        <f t="shared" si="85"/>
        <v>1.8523691654879775</v>
      </c>
      <c r="K152" s="195">
        <f t="shared" si="86"/>
        <v>2015</v>
      </c>
      <c r="L152" s="195">
        <f t="shared" si="87"/>
        <v>10477</v>
      </c>
      <c r="M152" s="196">
        <f t="shared" si="84"/>
        <v>3.9621385282299611E-3</v>
      </c>
    </row>
    <row r="153" spans="2:13" x14ac:dyDescent="0.25">
      <c r="B153" s="190" t="s">
        <v>109</v>
      </c>
      <c r="C153" s="191">
        <v>17658</v>
      </c>
      <c r="D153" s="191">
        <v>15206</v>
      </c>
      <c r="E153" s="191">
        <v>37287</v>
      </c>
      <c r="F153" s="191">
        <v>43077</v>
      </c>
      <c r="G153" s="191">
        <v>51636</v>
      </c>
      <c r="H153" s="191">
        <v>52410</v>
      </c>
      <c r="I153" s="211">
        <f>IFERROR(H153/G153-1,"-")</f>
        <v>1.4989542179874471E-2</v>
      </c>
      <c r="J153" s="192">
        <f t="shared" si="85"/>
        <v>2.4466657898198081</v>
      </c>
      <c r="K153" s="191">
        <f t="shared" si="86"/>
        <v>774</v>
      </c>
      <c r="L153" s="191">
        <f t="shared" si="87"/>
        <v>37204</v>
      </c>
      <c r="M153" s="192">
        <f t="shared" si="84"/>
        <v>1.2871485790896439E-2</v>
      </c>
    </row>
    <row r="154" spans="2:13" x14ac:dyDescent="0.25">
      <c r="B154" s="194" t="s">
        <v>112</v>
      </c>
      <c r="C154" s="195">
        <v>4991</v>
      </c>
      <c r="D154" s="195">
        <v>1385</v>
      </c>
      <c r="E154" s="195">
        <v>13622</v>
      </c>
      <c r="F154" s="195">
        <v>13413</v>
      </c>
      <c r="G154" s="195">
        <v>15032</v>
      </c>
      <c r="H154" s="195">
        <v>13364</v>
      </c>
      <c r="I154" s="212">
        <f t="shared" ref="I154:I161" si="88">IFERROR(H154/G154-1,"-")</f>
        <v>-0.11096327833954234</v>
      </c>
      <c r="J154" s="196">
        <f t="shared" si="85"/>
        <v>8.6490974729241881</v>
      </c>
      <c r="K154" s="195">
        <f t="shared" si="86"/>
        <v>-1668</v>
      </c>
      <c r="L154" s="195">
        <f t="shared" si="87"/>
        <v>11979</v>
      </c>
      <c r="M154" s="196">
        <f t="shared" si="84"/>
        <v>3.2820938009834001E-3</v>
      </c>
    </row>
    <row r="155" spans="2:13" x14ac:dyDescent="0.25">
      <c r="B155" s="194" t="s">
        <v>115</v>
      </c>
      <c r="C155" s="195">
        <v>4466</v>
      </c>
      <c r="D155" s="195">
        <v>3071</v>
      </c>
      <c r="E155" s="195">
        <v>7583</v>
      </c>
      <c r="F155" s="195">
        <v>8235</v>
      </c>
      <c r="G155" s="195">
        <v>8751</v>
      </c>
      <c r="H155" s="195">
        <v>8558</v>
      </c>
      <c r="I155" s="212">
        <f t="shared" si="88"/>
        <v>-2.2054622328876672E-2</v>
      </c>
      <c r="J155" s="196">
        <f t="shared" si="85"/>
        <v>1.786714425268642</v>
      </c>
      <c r="K155" s="195">
        <f t="shared" si="86"/>
        <v>-193</v>
      </c>
      <c r="L155" s="195">
        <f t="shared" si="87"/>
        <v>5487</v>
      </c>
      <c r="M155" s="196">
        <f t="shared" si="84"/>
        <v>2.1017778171816773E-3</v>
      </c>
    </row>
    <row r="156" spans="2:13" x14ac:dyDescent="0.25">
      <c r="B156" s="194" t="s">
        <v>118</v>
      </c>
      <c r="C156" s="195">
        <v>1966</v>
      </c>
      <c r="D156" s="195">
        <v>3561</v>
      </c>
      <c r="E156" s="195">
        <v>4576</v>
      </c>
      <c r="F156" s="195">
        <v>7060</v>
      </c>
      <c r="G156" s="195">
        <v>9021</v>
      </c>
      <c r="H156" s="195">
        <v>12887</v>
      </c>
      <c r="I156" s="212">
        <f t="shared" si="88"/>
        <v>0.42855559250637398</v>
      </c>
      <c r="J156" s="196">
        <f t="shared" si="85"/>
        <v>2.6189272676214546</v>
      </c>
      <c r="K156" s="195">
        <f t="shared" si="86"/>
        <v>3866</v>
      </c>
      <c r="L156" s="195">
        <f t="shared" si="87"/>
        <v>9326</v>
      </c>
      <c r="M156" s="196">
        <f t="shared" si="84"/>
        <v>3.1649463344263005E-3</v>
      </c>
    </row>
    <row r="157" spans="2:13" x14ac:dyDescent="0.25">
      <c r="B157" s="194" t="s">
        <v>125</v>
      </c>
      <c r="C157" s="195">
        <v>560</v>
      </c>
      <c r="D157" s="195">
        <v>464</v>
      </c>
      <c r="E157" s="195">
        <v>1124</v>
      </c>
      <c r="F157" s="195">
        <v>1342</v>
      </c>
      <c r="G157" s="195">
        <v>2012</v>
      </c>
      <c r="H157" s="195">
        <v>1790</v>
      </c>
      <c r="I157" s="212">
        <f t="shared" si="88"/>
        <v>-0.11033797216699803</v>
      </c>
      <c r="J157" s="196">
        <f t="shared" si="85"/>
        <v>2.8577586206896552</v>
      </c>
      <c r="K157" s="195">
        <f t="shared" si="86"/>
        <v>-222</v>
      </c>
      <c r="L157" s="195">
        <f t="shared" si="87"/>
        <v>1326</v>
      </c>
      <c r="M157" s="196">
        <f t="shared" si="84"/>
        <v>4.3960998980546891E-4</v>
      </c>
    </row>
    <row r="158" spans="2:13" x14ac:dyDescent="0.25">
      <c r="B158" s="194" t="s">
        <v>121</v>
      </c>
      <c r="C158" s="195">
        <v>1056</v>
      </c>
      <c r="D158" s="195">
        <v>1080</v>
      </c>
      <c r="E158" s="195">
        <v>2299</v>
      </c>
      <c r="F158" s="195">
        <v>2224</v>
      </c>
      <c r="G158" s="195">
        <v>2688</v>
      </c>
      <c r="H158" s="195">
        <v>1970</v>
      </c>
      <c r="I158" s="212">
        <f t="shared" si="88"/>
        <v>-0.26711309523809523</v>
      </c>
      <c r="J158" s="196">
        <f t="shared" si="85"/>
        <v>0.82407407407407418</v>
      </c>
      <c r="K158" s="195">
        <f t="shared" si="86"/>
        <v>-718</v>
      </c>
      <c r="L158" s="195">
        <f t="shared" si="87"/>
        <v>890</v>
      </c>
      <c r="M158" s="196">
        <f t="shared" si="84"/>
        <v>4.8381658095909147E-4</v>
      </c>
    </row>
    <row r="159" spans="2:13" x14ac:dyDescent="0.25">
      <c r="B159" s="194" t="s">
        <v>130</v>
      </c>
      <c r="C159" s="195">
        <v>339</v>
      </c>
      <c r="D159" s="195">
        <v>43</v>
      </c>
      <c r="E159" s="195">
        <v>293</v>
      </c>
      <c r="F159" s="195">
        <v>425</v>
      </c>
      <c r="G159" s="195">
        <v>306</v>
      </c>
      <c r="H159" s="195">
        <v>305</v>
      </c>
      <c r="I159" s="212">
        <f t="shared" si="88"/>
        <v>-3.2679738562091387E-3</v>
      </c>
      <c r="J159" s="196">
        <f t="shared" si="85"/>
        <v>6.0930232558139537</v>
      </c>
      <c r="K159" s="195">
        <f t="shared" si="86"/>
        <v>-1</v>
      </c>
      <c r="L159" s="195">
        <f t="shared" si="87"/>
        <v>262</v>
      </c>
      <c r="M159" s="196">
        <f t="shared" si="84"/>
        <v>7.4905612788082689E-5</v>
      </c>
    </row>
    <row r="160" spans="2:13" x14ac:dyDescent="0.25">
      <c r="B160" s="194" t="s">
        <v>133</v>
      </c>
      <c r="C160" s="195">
        <v>420</v>
      </c>
      <c r="D160" s="195">
        <v>79</v>
      </c>
      <c r="E160" s="195">
        <v>405</v>
      </c>
      <c r="F160" s="195">
        <v>565</v>
      </c>
      <c r="G160" s="195">
        <v>504</v>
      </c>
      <c r="H160" s="195">
        <v>389</v>
      </c>
      <c r="I160" s="212">
        <f t="shared" si="88"/>
        <v>-0.22817460317460314</v>
      </c>
      <c r="J160" s="196">
        <f t="shared" si="85"/>
        <v>3.924050632911392</v>
      </c>
      <c r="K160" s="195">
        <f t="shared" si="86"/>
        <v>-115</v>
      </c>
      <c r="L160" s="195">
        <f t="shared" si="87"/>
        <v>310</v>
      </c>
      <c r="M160" s="196">
        <f t="shared" si="84"/>
        <v>9.5535355326439888E-5</v>
      </c>
    </row>
    <row r="161" spans="2:13" x14ac:dyDescent="0.25">
      <c r="B161" s="199" t="s">
        <v>147</v>
      </c>
      <c r="C161" s="200">
        <f t="shared" ref="C161" si="89">C153-SUM(C154:C160)</f>
        <v>3860</v>
      </c>
      <c r="D161" s="200">
        <f t="shared" ref="D161:E161" si="90">D153-SUM(D154:D160)</f>
        <v>5523</v>
      </c>
      <c r="E161" s="200">
        <f t="shared" si="90"/>
        <v>7385</v>
      </c>
      <c r="F161" s="200">
        <f t="shared" ref="F161:H161" si="91">F153-SUM(F154:F160)</f>
        <v>9813</v>
      </c>
      <c r="G161" s="200">
        <f t="shared" si="91"/>
        <v>13322</v>
      </c>
      <c r="H161" s="200">
        <f t="shared" si="91"/>
        <v>13147</v>
      </c>
      <c r="I161" s="213">
        <f t="shared" si="88"/>
        <v>-1.3136165740879724E-2</v>
      </c>
      <c r="J161" s="201">
        <f t="shared" si="85"/>
        <v>1.3804091978996924</v>
      </c>
      <c r="K161" s="200">
        <f>H161-G161</f>
        <v>-175</v>
      </c>
      <c r="L161" s="200">
        <f t="shared" si="87"/>
        <v>7624</v>
      </c>
      <c r="M161" s="201">
        <f t="shared" si="84"/>
        <v>3.2288002994259775E-3</v>
      </c>
    </row>
    <row r="162" spans="2:13" x14ac:dyDescent="0.25">
      <c r="C162" s="103"/>
      <c r="D162" s="103"/>
      <c r="E162" s="103"/>
      <c r="F162" s="103"/>
      <c r="G162" s="103"/>
      <c r="H162" s="103"/>
      <c r="I162" s="103"/>
    </row>
    <row r="163" spans="2:13" x14ac:dyDescent="0.25">
      <c r="B163" s="131" t="s">
        <v>57</v>
      </c>
      <c r="C163" s="131"/>
      <c r="D163" s="131"/>
      <c r="E163" s="131"/>
      <c r="F163" s="131"/>
      <c r="G163" s="131"/>
      <c r="H163" s="131"/>
      <c r="I163" s="131"/>
      <c r="J163" s="131"/>
      <c r="K163" s="131"/>
      <c r="L163" s="131"/>
      <c r="M163" s="131"/>
    </row>
  </sheetData>
  <mergeCells count="3">
    <mergeCell ref="B4:J4"/>
    <mergeCell ref="C6:M6"/>
    <mergeCell ref="Q6:Y6"/>
  </mergeCells>
  <pageMargins left="0.25" right="0.25" top="0.75" bottom="0.75" header="0.3" footer="0.3"/>
  <pageSetup paperSize="9" scale="88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C7AF7-AD0F-4F50-979C-D738E85AE4CB}">
  <sheetPr>
    <tabColor theme="7" tint="0.79998168889431442"/>
    <pageSetUpPr fitToPage="1"/>
  </sheetPr>
  <dimension ref="A1:W163"/>
  <sheetViews>
    <sheetView showGridLines="0" workbookViewId="0">
      <selection activeCell="G10" sqref="G10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3" max="13" width="11.42578125" customWidth="1"/>
    <col min="14" max="23" width="11.42578125" hidden="1" customWidth="1"/>
    <col min="24" max="24" width="0" hidden="1" customWidth="1"/>
  </cols>
  <sheetData>
    <row r="1" spans="1:23" ht="42.75" customHeight="1" x14ac:dyDescent="0.25"/>
    <row r="4" spans="1:23" ht="42" customHeight="1" thickBot="1" x14ac:dyDescent="0.3">
      <c r="B4" s="12" t="str">
        <f>CONCATENATE("Viajeros entrados en los hoteles de Tenerife según lugar de residencia y municipio de alojamiento")</f>
        <v>Viajeros entrados en los hoteles de Tenerife según lugar de residencia y municipio de alojamiento</v>
      </c>
      <c r="C4" s="12"/>
      <c r="D4" s="12"/>
      <c r="E4" s="12"/>
      <c r="F4" s="12"/>
      <c r="G4" s="12"/>
      <c r="H4" s="12"/>
      <c r="I4" s="12"/>
      <c r="J4" s="173"/>
      <c r="K4" s="173"/>
      <c r="N4" s="172" t="s">
        <v>271</v>
      </c>
      <c r="O4" s="173"/>
      <c r="P4" s="173"/>
      <c r="Q4" s="173"/>
      <c r="R4" s="173"/>
      <c r="S4" s="173"/>
      <c r="T4" s="173"/>
      <c r="U4" s="173"/>
      <c r="V4" s="173"/>
      <c r="W4" s="173"/>
    </row>
    <row r="5" spans="1:23" ht="6" customHeight="1" x14ac:dyDescent="0.25"/>
    <row r="6" spans="1:23" ht="15.75" x14ac:dyDescent="0.25">
      <c r="B6" s="174"/>
      <c r="C6" s="203" t="s">
        <v>45</v>
      </c>
      <c r="D6" s="204"/>
      <c r="E6" s="204"/>
      <c r="F6" s="204"/>
      <c r="G6" s="204"/>
      <c r="H6" s="204"/>
      <c r="I6" s="204"/>
      <c r="J6" s="204"/>
      <c r="K6" s="204"/>
      <c r="N6" s="174"/>
      <c r="O6" s="203" t="s">
        <v>45</v>
      </c>
      <c r="P6" s="204"/>
      <c r="Q6" s="204"/>
      <c r="R6" s="204"/>
      <c r="S6" s="204"/>
      <c r="T6" s="204"/>
      <c r="U6" s="204"/>
      <c r="V6" s="204"/>
      <c r="W6" s="204"/>
    </row>
    <row r="7" spans="1:23" s="177" customFormat="1" ht="72" customHeight="1" x14ac:dyDescent="0.25">
      <c r="B7" s="178"/>
      <c r="C7" s="205" t="s">
        <v>265</v>
      </c>
      <c r="D7" s="205" t="s">
        <v>266</v>
      </c>
      <c r="E7" s="205" t="s">
        <v>267</v>
      </c>
      <c r="F7" s="205" t="s">
        <v>268</v>
      </c>
      <c r="G7" s="205" t="s">
        <v>269</v>
      </c>
      <c r="H7" s="205" t="s">
        <v>270</v>
      </c>
      <c r="I7" s="206" t="str">
        <f>CONCATENATE("var. ",RIGHT(H7,2),"/",RIGHT(G7,2))</f>
        <v>var. 25/24</v>
      </c>
      <c r="J7" s="205" t="str">
        <f>CONCATENATE("dif. ",RIGHT(H7,2),"/",RIGHT(G7,2))</f>
        <v>dif. 25/24</v>
      </c>
      <c r="K7" s="206" t="str">
        <f>CONCATENATE("Cuota s/ total lugares de residencia ",RIGHT(H7,4))</f>
        <v>Cuota s/ total lugares de residencia 2025</v>
      </c>
      <c r="N7" s="178"/>
      <c r="O7" s="205" t="s">
        <v>265</v>
      </c>
      <c r="P7" s="205" t="s">
        <v>266</v>
      </c>
      <c r="Q7" s="205" t="s">
        <v>267</v>
      </c>
      <c r="R7" s="205" t="s">
        <v>268</v>
      </c>
      <c r="S7" s="205" t="s">
        <v>269</v>
      </c>
      <c r="T7" s="205" t="s">
        <v>270</v>
      </c>
      <c r="U7" s="206" t="str">
        <f>CONCATENATE("var. ",RIGHT(T7,2),"/",RIGHT(S7,2))</f>
        <v>var. 25/24</v>
      </c>
      <c r="V7" s="205" t="str">
        <f>CONCATENATE("dif. ",RIGHT(T7,2),"/",RIGHT(S7,2))</f>
        <v>dif. 25/24</v>
      </c>
      <c r="W7" s="206" t="str">
        <f>CONCATENATE("Cuota s/ total lugares de residencia ",RIGHT(T7,4))</f>
        <v>Cuota s/ total lugares de residencia 2025</v>
      </c>
    </row>
    <row r="8" spans="1:23" x14ac:dyDescent="0.25">
      <c r="A8" s="1"/>
      <c r="B8" s="183" t="s">
        <v>45</v>
      </c>
      <c r="C8" s="184"/>
      <c r="D8" s="184"/>
      <c r="E8" s="184"/>
      <c r="F8" s="184"/>
      <c r="G8" s="184"/>
      <c r="H8" s="185"/>
      <c r="I8" s="185"/>
      <c r="J8" s="185"/>
      <c r="K8" s="184"/>
      <c r="N8" s="186" t="s">
        <v>54</v>
      </c>
      <c r="O8" s="184"/>
      <c r="P8" s="184"/>
      <c r="Q8" s="184"/>
      <c r="R8" s="184"/>
      <c r="S8" s="184"/>
      <c r="T8" s="185"/>
      <c r="U8" s="185"/>
      <c r="V8" s="185"/>
      <c r="W8" s="184"/>
    </row>
    <row r="9" spans="1:23" x14ac:dyDescent="0.25">
      <c r="A9" s="1" t="s">
        <v>98</v>
      </c>
      <c r="B9" s="187" t="s">
        <v>70</v>
      </c>
      <c r="C9" s="209">
        <f t="shared" ref="C9:H9" si="0">C10+C13</f>
        <v>1002314</v>
      </c>
      <c r="D9" s="209">
        <f t="shared" si="0"/>
        <v>1038412</v>
      </c>
      <c r="E9" s="209">
        <f t="shared" si="0"/>
        <v>2770259</v>
      </c>
      <c r="F9" s="209">
        <f t="shared" si="0"/>
        <v>3031978</v>
      </c>
      <c r="G9" s="209">
        <f t="shared" si="0"/>
        <v>3198024</v>
      </c>
      <c r="H9" s="209">
        <f t="shared" si="0"/>
        <v>3129351</v>
      </c>
      <c r="I9" s="210">
        <f>IFERROR(H9/G9-1,"-")</f>
        <v>-2.147357243097614E-2</v>
      </c>
      <c r="J9" s="209">
        <f t="shared" ref="J9:J21" si="1">H9-G9</f>
        <v>-68673</v>
      </c>
      <c r="K9" s="210">
        <f t="shared" ref="K9:K21" si="2">H9/H$9</f>
        <v>1</v>
      </c>
      <c r="N9" s="187" t="s">
        <v>70</v>
      </c>
      <c r="O9" s="209">
        <f t="shared" ref="O9:T9" si="3">O10+O13</f>
        <v>55367</v>
      </c>
      <c r="P9" s="209">
        <f t="shared" si="3"/>
        <v>64813</v>
      </c>
      <c r="Q9" s="209">
        <f t="shared" si="3"/>
        <v>157275</v>
      </c>
      <c r="R9" s="209">
        <f t="shared" si="3"/>
        <v>168976</v>
      </c>
      <c r="S9" s="209">
        <f t="shared" si="3"/>
        <v>176312</v>
      </c>
      <c r="T9" s="209">
        <f t="shared" si="3"/>
        <v>173044</v>
      </c>
      <c r="U9" s="210">
        <f>IFERROR(T9/S9-1,"-")</f>
        <v>-1.853532374427147E-2</v>
      </c>
      <c r="V9" s="209">
        <f>T9-S9</f>
        <v>-3268</v>
      </c>
      <c r="W9" s="210">
        <f t="shared" ref="W9:W21" si="4">T9/T$9</f>
        <v>1</v>
      </c>
    </row>
    <row r="10" spans="1:23" x14ac:dyDescent="0.25">
      <c r="A10" s="193" t="s">
        <v>105</v>
      </c>
      <c r="B10" s="190" t="s">
        <v>99</v>
      </c>
      <c r="C10" s="191">
        <v>291851</v>
      </c>
      <c r="D10" s="191">
        <v>497468</v>
      </c>
      <c r="E10" s="191">
        <v>674079</v>
      </c>
      <c r="F10" s="191">
        <v>697698</v>
      </c>
      <c r="G10" s="191">
        <v>694742</v>
      </c>
      <c r="H10" s="191">
        <v>690967</v>
      </c>
      <c r="I10" s="211">
        <f>IFERROR(H10/G10-1,"-")</f>
        <v>-5.4336717803156187E-3</v>
      </c>
      <c r="J10" s="190">
        <f t="shared" si="1"/>
        <v>-3775</v>
      </c>
      <c r="K10" s="192">
        <f t="shared" si="2"/>
        <v>0.22080201294134152</v>
      </c>
      <c r="N10" s="190" t="s">
        <v>99</v>
      </c>
      <c r="O10" s="191">
        <v>11787</v>
      </c>
      <c r="P10" s="191">
        <v>31570</v>
      </c>
      <c r="Q10" s="191">
        <v>17845</v>
      </c>
      <c r="R10" s="191">
        <v>18970</v>
      </c>
      <c r="S10" s="191">
        <v>16443</v>
      </c>
      <c r="T10" s="191">
        <v>18906</v>
      </c>
      <c r="U10" s="211">
        <f>IFERROR(T10/S10-1,"-")</f>
        <v>0.14979018427294299</v>
      </c>
      <c r="V10" s="190">
        <f t="shared" ref="V10:V20" si="5">T10-S10</f>
        <v>2463</v>
      </c>
      <c r="W10" s="192">
        <f t="shared" si="4"/>
        <v>0.10925544948105684</v>
      </c>
    </row>
    <row r="11" spans="1:23" x14ac:dyDescent="0.25">
      <c r="A11" s="193" t="s">
        <v>102</v>
      </c>
      <c r="B11" s="194" t="s">
        <v>105</v>
      </c>
      <c r="C11" s="195">
        <v>107552</v>
      </c>
      <c r="D11" s="195">
        <v>248793</v>
      </c>
      <c r="E11" s="195">
        <v>265673</v>
      </c>
      <c r="F11" s="195">
        <v>273504</v>
      </c>
      <c r="G11" s="195">
        <v>269639</v>
      </c>
      <c r="H11" s="195">
        <v>266057</v>
      </c>
      <c r="I11" s="212">
        <f>IFERROR(H11/G11-1,"-")</f>
        <v>-1.3284428439506168E-2</v>
      </c>
      <c r="J11" s="194">
        <f t="shared" si="1"/>
        <v>-3582</v>
      </c>
      <c r="K11" s="196">
        <f t="shared" si="2"/>
        <v>8.5019865141366377E-2</v>
      </c>
      <c r="N11" s="194" t="s">
        <v>105</v>
      </c>
      <c r="O11" s="195">
        <v>7683</v>
      </c>
      <c r="P11" s="195">
        <v>24857</v>
      </c>
      <c r="Q11" s="195">
        <v>12496</v>
      </c>
      <c r="R11" s="195">
        <v>12229</v>
      </c>
      <c r="S11" s="195">
        <v>10288</v>
      </c>
      <c r="T11" s="195">
        <v>11971</v>
      </c>
      <c r="U11" s="212">
        <f>IFERROR(T11/S11-1,"-")</f>
        <v>0.16358864696734066</v>
      </c>
      <c r="V11" s="194">
        <f t="shared" si="5"/>
        <v>1683</v>
      </c>
      <c r="W11" s="196">
        <f>T11/T$9</f>
        <v>6.9178937148933223E-2</v>
      </c>
    </row>
    <row r="12" spans="1:23" x14ac:dyDescent="0.25">
      <c r="A12" s="1"/>
      <c r="B12" s="194" t="s">
        <v>102</v>
      </c>
      <c r="C12" s="195">
        <v>184299</v>
      </c>
      <c r="D12" s="195">
        <v>248675</v>
      </c>
      <c r="E12" s="195">
        <v>408406</v>
      </c>
      <c r="F12" s="195">
        <v>424194</v>
      </c>
      <c r="G12" s="195">
        <v>425103</v>
      </c>
      <c r="H12" s="195">
        <v>424910</v>
      </c>
      <c r="I12" s="212">
        <f>IFERROR(H12/G12-1,"-")</f>
        <v>-4.5400761697755865E-4</v>
      </c>
      <c r="J12" s="194">
        <f t="shared" si="1"/>
        <v>-193</v>
      </c>
      <c r="K12" s="196">
        <f t="shared" si="2"/>
        <v>0.13578214779997513</v>
      </c>
      <c r="N12" s="194" t="s">
        <v>102</v>
      </c>
      <c r="O12" s="195">
        <v>4104</v>
      </c>
      <c r="P12" s="195">
        <v>6713</v>
      </c>
      <c r="Q12" s="195">
        <v>5349</v>
      </c>
      <c r="R12" s="195">
        <v>6741</v>
      </c>
      <c r="S12" s="195">
        <v>6155</v>
      </c>
      <c r="T12" s="195">
        <v>6935</v>
      </c>
      <c r="U12" s="212">
        <f>IFERROR(T12/S12-1,"-")</f>
        <v>0.12672623883021927</v>
      </c>
      <c r="V12" s="194">
        <f t="shared" si="5"/>
        <v>780</v>
      </c>
      <c r="W12" s="196">
        <f t="shared" si="4"/>
        <v>4.0076512332123622E-2</v>
      </c>
    </row>
    <row r="13" spans="1:23" s="74" customFormat="1" x14ac:dyDescent="0.25">
      <c r="B13" s="190" t="s">
        <v>109</v>
      </c>
      <c r="C13" s="191">
        <v>710463</v>
      </c>
      <c r="D13" s="191">
        <v>540944</v>
      </c>
      <c r="E13" s="191">
        <v>2096180</v>
      </c>
      <c r="F13" s="191">
        <v>2334280</v>
      </c>
      <c r="G13" s="191">
        <v>2503282</v>
      </c>
      <c r="H13" s="191">
        <v>2438384</v>
      </c>
      <c r="I13" s="211">
        <f>IFERROR(H13/G13-1,"-")</f>
        <v>-2.5925165442806652E-2</v>
      </c>
      <c r="J13" s="190">
        <f t="shared" si="1"/>
        <v>-64898</v>
      </c>
      <c r="K13" s="192">
        <f t="shared" si="2"/>
        <v>0.7791979870586585</v>
      </c>
      <c r="N13" s="190" t="s">
        <v>109</v>
      </c>
      <c r="O13" s="191">
        <v>43580</v>
      </c>
      <c r="P13" s="191">
        <v>33243</v>
      </c>
      <c r="Q13" s="191">
        <v>139430</v>
      </c>
      <c r="R13" s="191">
        <v>150006</v>
      </c>
      <c r="S13" s="191">
        <v>159869</v>
      </c>
      <c r="T13" s="191">
        <v>154138</v>
      </c>
      <c r="U13" s="211">
        <f>IFERROR(T13/S13-1,"-")</f>
        <v>-3.5848100632392743E-2</v>
      </c>
      <c r="V13" s="190">
        <f t="shared" si="5"/>
        <v>-5731</v>
      </c>
      <c r="W13" s="192">
        <f t="shared" si="4"/>
        <v>0.89074455051894319</v>
      </c>
    </row>
    <row r="14" spans="1:23" s="74" customFormat="1" x14ac:dyDescent="0.25">
      <c r="B14" s="194" t="s">
        <v>112</v>
      </c>
      <c r="C14" s="195">
        <v>267043</v>
      </c>
      <c r="D14" s="195">
        <v>105634</v>
      </c>
      <c r="E14" s="195">
        <v>969789</v>
      </c>
      <c r="F14" s="195">
        <v>1080799</v>
      </c>
      <c r="G14" s="195">
        <v>1149527</v>
      </c>
      <c r="H14" s="195">
        <v>1124150</v>
      </c>
      <c r="I14" s="212">
        <f t="shared" ref="I14:I21" si="6">IFERROR(H14/G14-1,"-")</f>
        <v>-2.2076036491530893E-2</v>
      </c>
      <c r="J14" s="194">
        <f t="shared" si="1"/>
        <v>-25377</v>
      </c>
      <c r="K14" s="196">
        <f t="shared" si="2"/>
        <v>0.35922783989395884</v>
      </c>
      <c r="N14" s="194" t="s">
        <v>112</v>
      </c>
      <c r="O14" s="195">
        <v>15952</v>
      </c>
      <c r="P14" s="195">
        <v>5517</v>
      </c>
      <c r="Q14" s="195">
        <v>61036</v>
      </c>
      <c r="R14" s="195">
        <v>65615</v>
      </c>
      <c r="S14" s="195">
        <v>72783</v>
      </c>
      <c r="T14" s="195">
        <v>72439</v>
      </c>
      <c r="U14" s="212">
        <f t="shared" ref="U14:U21" si="7">IFERROR(T14/S14-1,"-")</f>
        <v>-4.726378412541421E-3</v>
      </c>
      <c r="V14" s="194">
        <f t="shared" si="5"/>
        <v>-344</v>
      </c>
      <c r="W14" s="196">
        <f t="shared" si="4"/>
        <v>0.41861607452439842</v>
      </c>
    </row>
    <row r="15" spans="1:23" x14ac:dyDescent="0.25">
      <c r="A15" s="1"/>
      <c r="B15" s="194" t="s">
        <v>115</v>
      </c>
      <c r="C15" s="195">
        <v>102940</v>
      </c>
      <c r="D15" s="195">
        <v>91132</v>
      </c>
      <c r="E15" s="195">
        <v>234445</v>
      </c>
      <c r="F15" s="195">
        <v>268942</v>
      </c>
      <c r="G15" s="195">
        <v>277141</v>
      </c>
      <c r="H15" s="195">
        <v>269189</v>
      </c>
      <c r="I15" s="212">
        <f t="shared" si="6"/>
        <v>-2.8692975777672713E-2</v>
      </c>
      <c r="J15" s="194">
        <f t="shared" si="1"/>
        <v>-7952</v>
      </c>
      <c r="K15" s="196">
        <f t="shared" si="2"/>
        <v>8.6020711642765549E-2</v>
      </c>
      <c r="N15" s="194" t="s">
        <v>115</v>
      </c>
      <c r="O15" s="195">
        <v>3597</v>
      </c>
      <c r="P15" s="195">
        <v>3377</v>
      </c>
      <c r="Q15" s="195">
        <v>8746</v>
      </c>
      <c r="R15" s="195">
        <v>12856</v>
      </c>
      <c r="S15" s="195">
        <v>13363</v>
      </c>
      <c r="T15" s="195">
        <v>12998</v>
      </c>
      <c r="U15" s="212">
        <f t="shared" si="7"/>
        <v>-2.7314225847489326E-2</v>
      </c>
      <c r="V15" s="194">
        <f t="shared" si="5"/>
        <v>-365</v>
      </c>
      <c r="W15" s="196">
        <f t="shared" si="4"/>
        <v>7.5113843877857661E-2</v>
      </c>
    </row>
    <row r="16" spans="1:23" x14ac:dyDescent="0.25">
      <c r="A16" s="1"/>
      <c r="B16" s="194" t="s">
        <v>118</v>
      </c>
      <c r="C16" s="195">
        <v>39450</v>
      </c>
      <c r="D16" s="195">
        <v>65397</v>
      </c>
      <c r="E16" s="195">
        <v>120986</v>
      </c>
      <c r="F16" s="195">
        <v>131977</v>
      </c>
      <c r="G16" s="195">
        <v>145390</v>
      </c>
      <c r="H16" s="195">
        <v>138650</v>
      </c>
      <c r="I16" s="212">
        <f t="shared" si="6"/>
        <v>-4.6358071394181133E-2</v>
      </c>
      <c r="J16" s="194">
        <f t="shared" si="1"/>
        <v>-6740</v>
      </c>
      <c r="K16" s="196">
        <f t="shared" si="2"/>
        <v>4.4306311436460785E-2</v>
      </c>
      <c r="N16" s="194" t="s">
        <v>118</v>
      </c>
      <c r="O16" s="195">
        <v>4152</v>
      </c>
      <c r="P16" s="195">
        <v>7198</v>
      </c>
      <c r="Q16" s="195">
        <v>17705</v>
      </c>
      <c r="R16" s="195">
        <v>16022</v>
      </c>
      <c r="S16" s="195">
        <v>16112</v>
      </c>
      <c r="T16" s="195">
        <v>14171</v>
      </c>
      <c r="U16" s="212">
        <f t="shared" si="7"/>
        <v>-0.12046921549155909</v>
      </c>
      <c r="V16" s="194">
        <f t="shared" si="5"/>
        <v>-1941</v>
      </c>
      <c r="W16" s="196">
        <f t="shared" si="4"/>
        <v>8.1892466655879431E-2</v>
      </c>
    </row>
    <row r="17" spans="1:23" x14ac:dyDescent="0.25">
      <c r="A17" s="1"/>
      <c r="B17" s="194" t="s">
        <v>125</v>
      </c>
      <c r="C17" s="195">
        <v>25260</v>
      </c>
      <c r="D17" s="195">
        <v>31054</v>
      </c>
      <c r="E17" s="195">
        <v>95676</v>
      </c>
      <c r="F17" s="195">
        <v>87162</v>
      </c>
      <c r="G17" s="195">
        <v>94713</v>
      </c>
      <c r="H17" s="195">
        <v>88489</v>
      </c>
      <c r="I17" s="212">
        <f t="shared" si="6"/>
        <v>-6.5714315880607721E-2</v>
      </c>
      <c r="J17" s="194">
        <f t="shared" si="1"/>
        <v>-6224</v>
      </c>
      <c r="K17" s="196">
        <f t="shared" si="2"/>
        <v>2.8277109215297358E-2</v>
      </c>
      <c r="N17" s="194" t="s">
        <v>125</v>
      </c>
      <c r="O17" s="195">
        <v>562</v>
      </c>
      <c r="P17" s="195">
        <v>1022</v>
      </c>
      <c r="Q17" s="195">
        <v>6612</v>
      </c>
      <c r="R17" s="195">
        <v>5654</v>
      </c>
      <c r="S17" s="195">
        <v>3805</v>
      </c>
      <c r="T17" s="195">
        <v>3323</v>
      </c>
      <c r="U17" s="212">
        <f t="shared" si="7"/>
        <v>-0.12667542706964519</v>
      </c>
      <c r="V17" s="194">
        <f t="shared" si="5"/>
        <v>-482</v>
      </c>
      <c r="W17" s="196">
        <f t="shared" si="4"/>
        <v>1.9203208432537391E-2</v>
      </c>
    </row>
    <row r="18" spans="1:23" x14ac:dyDescent="0.25">
      <c r="A18" s="1"/>
      <c r="B18" s="194" t="s">
        <v>121</v>
      </c>
      <c r="C18" s="195">
        <v>42174</v>
      </c>
      <c r="D18" s="195">
        <v>40134</v>
      </c>
      <c r="E18" s="195">
        <v>95385</v>
      </c>
      <c r="F18" s="195">
        <v>97352</v>
      </c>
      <c r="G18" s="195">
        <v>102779</v>
      </c>
      <c r="H18" s="195">
        <v>93610</v>
      </c>
      <c r="I18" s="212">
        <f t="shared" si="6"/>
        <v>-8.9210831006333979E-2</v>
      </c>
      <c r="J18" s="194">
        <f t="shared" si="1"/>
        <v>-9169</v>
      </c>
      <c r="K18" s="196">
        <f t="shared" si="2"/>
        <v>2.9913550764998877E-2</v>
      </c>
      <c r="N18" s="194" t="s">
        <v>121</v>
      </c>
      <c r="O18" s="195">
        <v>1346</v>
      </c>
      <c r="P18" s="195">
        <v>1638</v>
      </c>
      <c r="Q18" s="195">
        <v>2635</v>
      </c>
      <c r="R18" s="195">
        <v>3343</v>
      </c>
      <c r="S18" s="195">
        <v>3755</v>
      </c>
      <c r="T18" s="195">
        <v>2601</v>
      </c>
      <c r="U18" s="212">
        <f t="shared" si="7"/>
        <v>-0.30732356857523302</v>
      </c>
      <c r="V18" s="194">
        <f t="shared" si="5"/>
        <v>-1154</v>
      </c>
      <c r="W18" s="196">
        <f t="shared" si="4"/>
        <v>1.5030859203439587E-2</v>
      </c>
    </row>
    <row r="19" spans="1:23" x14ac:dyDescent="0.25">
      <c r="A19" s="193" t="s">
        <v>146</v>
      </c>
      <c r="B19" s="194" t="s">
        <v>130</v>
      </c>
      <c r="C19" s="195">
        <v>18088</v>
      </c>
      <c r="D19" s="195">
        <v>2061</v>
      </c>
      <c r="E19" s="195">
        <v>24723</v>
      </c>
      <c r="F19" s="195">
        <v>30854</v>
      </c>
      <c r="G19" s="195">
        <v>28123</v>
      </c>
      <c r="H19" s="195">
        <v>26744</v>
      </c>
      <c r="I19" s="212">
        <f t="shared" si="6"/>
        <v>-4.9034598015858855E-2</v>
      </c>
      <c r="J19" s="194">
        <f t="shared" si="1"/>
        <v>-1379</v>
      </c>
      <c r="K19" s="196">
        <f t="shared" si="2"/>
        <v>8.5461809812961212E-3</v>
      </c>
      <c r="N19" s="194" t="s">
        <v>130</v>
      </c>
      <c r="O19" s="195">
        <v>1581</v>
      </c>
      <c r="P19" s="195">
        <v>36</v>
      </c>
      <c r="Q19" s="195">
        <v>1657</v>
      </c>
      <c r="R19" s="195">
        <v>1964</v>
      </c>
      <c r="S19" s="195">
        <v>1842</v>
      </c>
      <c r="T19" s="195">
        <v>2040</v>
      </c>
      <c r="U19" s="212">
        <f t="shared" si="7"/>
        <v>0.10749185667752448</v>
      </c>
      <c r="V19" s="194">
        <f t="shared" si="5"/>
        <v>198</v>
      </c>
      <c r="W19" s="196">
        <f t="shared" si="4"/>
        <v>1.1788909179168304E-2</v>
      </c>
    </row>
    <row r="20" spans="1:23" x14ac:dyDescent="0.25">
      <c r="A20" s="198" t="s">
        <v>147</v>
      </c>
      <c r="B20" s="194" t="s">
        <v>133</v>
      </c>
      <c r="C20" s="195">
        <v>24290</v>
      </c>
      <c r="D20" s="195">
        <v>1775</v>
      </c>
      <c r="E20" s="195">
        <v>17076</v>
      </c>
      <c r="F20" s="195">
        <v>26602</v>
      </c>
      <c r="G20" s="195">
        <v>24882</v>
      </c>
      <c r="H20" s="195">
        <v>21254</v>
      </c>
      <c r="I20" s="212">
        <f t="shared" si="6"/>
        <v>-0.14580821477373207</v>
      </c>
      <c r="J20" s="194">
        <f t="shared" si="1"/>
        <v>-3628</v>
      </c>
      <c r="K20" s="196">
        <f t="shared" si="2"/>
        <v>6.7918236081538951E-3</v>
      </c>
      <c r="N20" s="194" t="s">
        <v>133</v>
      </c>
      <c r="O20" s="195">
        <v>3280</v>
      </c>
      <c r="P20" s="195">
        <v>43</v>
      </c>
      <c r="Q20" s="195">
        <v>742</v>
      </c>
      <c r="R20" s="195">
        <v>1329</v>
      </c>
      <c r="S20" s="195">
        <v>1170</v>
      </c>
      <c r="T20" s="195">
        <v>829</v>
      </c>
      <c r="U20" s="212">
        <f t="shared" si="7"/>
        <v>-0.29145299145299142</v>
      </c>
      <c r="V20" s="194">
        <f t="shared" si="5"/>
        <v>-341</v>
      </c>
      <c r="W20" s="196">
        <f t="shared" si="4"/>
        <v>4.7906890732992763E-3</v>
      </c>
    </row>
    <row r="21" spans="1:23" x14ac:dyDescent="0.25">
      <c r="B21" s="199" t="s">
        <v>147</v>
      </c>
      <c r="C21" s="200">
        <f t="shared" ref="C21" si="8">C13-SUM(C14:C20)</f>
        <v>191218</v>
      </c>
      <c r="D21" s="200">
        <f t="shared" ref="D21:H21" si="9">D13-SUM(D14:D20)</f>
        <v>203757</v>
      </c>
      <c r="E21" s="200">
        <f t="shared" si="9"/>
        <v>538100</v>
      </c>
      <c r="F21" s="200">
        <f t="shared" si="9"/>
        <v>610592</v>
      </c>
      <c r="G21" s="200">
        <f t="shared" si="9"/>
        <v>680727</v>
      </c>
      <c r="H21" s="200">
        <f t="shared" si="9"/>
        <v>676298</v>
      </c>
      <c r="I21" s="213">
        <f t="shared" si="6"/>
        <v>-6.5062793160841625E-3</v>
      </c>
      <c r="J21" s="199">
        <f t="shared" si="1"/>
        <v>-4429</v>
      </c>
      <c r="K21" s="201">
        <f t="shared" si="2"/>
        <v>0.21611445951572705</v>
      </c>
      <c r="N21" s="199" t="s">
        <v>147</v>
      </c>
      <c r="O21" s="200">
        <f t="shared" ref="O21:T21" si="10">O13-SUM(O14:O20)</f>
        <v>13110</v>
      </c>
      <c r="P21" s="200">
        <f t="shared" si="10"/>
        <v>14412</v>
      </c>
      <c r="Q21" s="200">
        <f t="shared" si="10"/>
        <v>40297</v>
      </c>
      <c r="R21" s="200">
        <f t="shared" si="10"/>
        <v>43223</v>
      </c>
      <c r="S21" s="200">
        <f t="shared" si="10"/>
        <v>47039</v>
      </c>
      <c r="T21" s="200">
        <f t="shared" si="10"/>
        <v>45737</v>
      </c>
      <c r="U21" s="213">
        <f t="shared" si="7"/>
        <v>-2.7679159846085155E-2</v>
      </c>
      <c r="V21" s="199">
        <f>T21-S21</f>
        <v>-1302</v>
      </c>
      <c r="W21" s="201">
        <f t="shared" si="4"/>
        <v>0.26430849957236308</v>
      </c>
    </row>
    <row r="22" spans="1:23" x14ac:dyDescent="0.25">
      <c r="B22" s="186" t="s">
        <v>46</v>
      </c>
      <c r="C22" s="184"/>
      <c r="D22" s="184"/>
      <c r="E22" s="184"/>
      <c r="F22" s="184"/>
      <c r="G22" s="184"/>
      <c r="H22" s="184"/>
      <c r="I22" s="185"/>
      <c r="J22" s="185"/>
      <c r="K22" s="184"/>
    </row>
    <row r="23" spans="1:23" x14ac:dyDescent="0.25">
      <c r="B23" s="187" t="s">
        <v>70</v>
      </c>
      <c r="C23" s="209">
        <f t="shared" ref="C23:H23" si="11">C24+C27</f>
        <v>352777</v>
      </c>
      <c r="D23" s="209">
        <f t="shared" si="11"/>
        <v>425407</v>
      </c>
      <c r="E23" s="209">
        <f t="shared" si="11"/>
        <v>1107347</v>
      </c>
      <c r="F23" s="209">
        <f t="shared" si="11"/>
        <v>1144954</v>
      </c>
      <c r="G23" s="209">
        <f t="shared" si="11"/>
        <v>1180192</v>
      </c>
      <c r="H23" s="209">
        <f t="shared" si="11"/>
        <v>1097321</v>
      </c>
      <c r="I23" s="210">
        <f>IFERROR(H23/G23-1,"-")</f>
        <v>-7.0218235676906771E-2</v>
      </c>
      <c r="J23" s="209">
        <f>H23-G23</f>
        <v>-82871</v>
      </c>
      <c r="K23" s="210">
        <f t="shared" ref="K23:K35" si="12">H23/H$9</f>
        <v>0.35065449673111132</v>
      </c>
    </row>
    <row r="24" spans="1:23" x14ac:dyDescent="0.25">
      <c r="B24" s="190" t="s">
        <v>99</v>
      </c>
      <c r="C24" s="191">
        <v>62090</v>
      </c>
      <c r="D24" s="191">
        <v>171589</v>
      </c>
      <c r="E24" s="191">
        <v>143837</v>
      </c>
      <c r="F24" s="191">
        <v>116447</v>
      </c>
      <c r="G24" s="191">
        <v>104394</v>
      </c>
      <c r="H24" s="191">
        <v>90006</v>
      </c>
      <c r="I24" s="211">
        <f>IFERROR(H24/G24-1,"-")</f>
        <v>-0.13782401287430313</v>
      </c>
      <c r="J24" s="190">
        <f t="shared" ref="J24:J34" si="13">H24-G24</f>
        <v>-14388</v>
      </c>
      <c r="K24" s="192">
        <f t="shared" si="12"/>
        <v>2.8761874267220263E-2</v>
      </c>
    </row>
    <row r="25" spans="1:23" x14ac:dyDescent="0.25">
      <c r="B25" s="194" t="s">
        <v>105</v>
      </c>
      <c r="C25" s="195">
        <v>30289</v>
      </c>
      <c r="D25" s="195">
        <v>83326</v>
      </c>
      <c r="E25" s="195">
        <v>58250</v>
      </c>
      <c r="F25" s="195">
        <v>46066</v>
      </c>
      <c r="G25" s="195">
        <v>36859</v>
      </c>
      <c r="H25" s="195">
        <v>41828</v>
      </c>
      <c r="I25" s="212">
        <f>IFERROR(H25/G25-1,"-")</f>
        <v>0.13481103665319183</v>
      </c>
      <c r="J25" s="194">
        <f t="shared" si="13"/>
        <v>4969</v>
      </c>
      <c r="K25" s="196">
        <f t="shared" si="12"/>
        <v>1.3366349763896732E-2</v>
      </c>
    </row>
    <row r="26" spans="1:23" x14ac:dyDescent="0.25">
      <c r="B26" s="194" t="s">
        <v>102</v>
      </c>
      <c r="C26" s="195">
        <v>31801</v>
      </c>
      <c r="D26" s="195">
        <v>88263</v>
      </c>
      <c r="E26" s="195">
        <v>85587</v>
      </c>
      <c r="F26" s="195">
        <v>70381</v>
      </c>
      <c r="G26" s="195">
        <v>67535</v>
      </c>
      <c r="H26" s="195">
        <v>48178</v>
      </c>
      <c r="I26" s="212">
        <f>IFERROR(H26/G26-1,"-")</f>
        <v>-0.28662175168431181</v>
      </c>
      <c r="J26" s="194">
        <f t="shared" si="13"/>
        <v>-19357</v>
      </c>
      <c r="K26" s="196">
        <f t="shared" si="12"/>
        <v>1.5395524503323533E-2</v>
      </c>
    </row>
    <row r="27" spans="1:23" x14ac:dyDescent="0.25">
      <c r="B27" s="190" t="s">
        <v>109</v>
      </c>
      <c r="C27" s="191">
        <v>290687</v>
      </c>
      <c r="D27" s="191">
        <v>253818</v>
      </c>
      <c r="E27" s="191">
        <v>963510</v>
      </c>
      <c r="F27" s="191">
        <v>1028507</v>
      </c>
      <c r="G27" s="191">
        <v>1075798</v>
      </c>
      <c r="H27" s="191">
        <v>1007315</v>
      </c>
      <c r="I27" s="211">
        <f>IFERROR(H27/G27-1,"-")</f>
        <v>-6.3657861420080675E-2</v>
      </c>
      <c r="J27" s="190">
        <f t="shared" si="13"/>
        <v>-68483</v>
      </c>
      <c r="K27" s="192">
        <f t="shared" si="12"/>
        <v>0.32189262246389105</v>
      </c>
    </row>
    <row r="28" spans="1:23" x14ac:dyDescent="0.25">
      <c r="B28" s="194" t="s">
        <v>112</v>
      </c>
      <c r="C28" s="195">
        <v>120474</v>
      </c>
      <c r="D28" s="195">
        <v>56394</v>
      </c>
      <c r="E28" s="195">
        <v>488203</v>
      </c>
      <c r="F28" s="195">
        <v>528257</v>
      </c>
      <c r="G28" s="195">
        <v>551640</v>
      </c>
      <c r="H28" s="195">
        <v>520623</v>
      </c>
      <c r="I28" s="212">
        <f t="shared" ref="I28:I35" si="14">IFERROR(H28/G28-1,"-")</f>
        <v>-5.6226887100282785E-2</v>
      </c>
      <c r="J28" s="194">
        <f t="shared" si="13"/>
        <v>-31017</v>
      </c>
      <c r="K28" s="196">
        <f t="shared" si="12"/>
        <v>0.16636772289206292</v>
      </c>
    </row>
    <row r="29" spans="1:23" x14ac:dyDescent="0.25">
      <c r="B29" s="194" t="s">
        <v>115</v>
      </c>
      <c r="C29" s="195">
        <v>38968</v>
      </c>
      <c r="D29" s="195">
        <v>48934</v>
      </c>
      <c r="E29" s="195">
        <v>111315</v>
      </c>
      <c r="F29" s="195">
        <v>121028</v>
      </c>
      <c r="G29" s="195">
        <v>121215</v>
      </c>
      <c r="H29" s="195">
        <v>111979</v>
      </c>
      <c r="I29" s="212">
        <f t="shared" si="14"/>
        <v>-7.6195190364228838E-2</v>
      </c>
      <c r="J29" s="194">
        <f t="shared" si="13"/>
        <v>-9236</v>
      </c>
      <c r="K29" s="196">
        <f t="shared" si="12"/>
        <v>3.5783457975791147E-2</v>
      </c>
    </row>
    <row r="30" spans="1:23" x14ac:dyDescent="0.25">
      <c r="B30" s="194" t="s">
        <v>118</v>
      </c>
      <c r="C30" s="195">
        <v>13385</v>
      </c>
      <c r="D30" s="195">
        <v>23535</v>
      </c>
      <c r="E30" s="195">
        <v>39571</v>
      </c>
      <c r="F30" s="195">
        <v>36065</v>
      </c>
      <c r="G30" s="195">
        <v>32682</v>
      </c>
      <c r="H30" s="195">
        <v>30688</v>
      </c>
      <c r="I30" s="212">
        <f t="shared" si="14"/>
        <v>-6.1012177957285307E-2</v>
      </c>
      <c r="J30" s="194">
        <f t="shared" si="13"/>
        <v>-1994</v>
      </c>
      <c r="K30" s="196">
        <f t="shared" si="12"/>
        <v>9.8065062052802646E-3</v>
      </c>
    </row>
    <row r="31" spans="1:23" x14ac:dyDescent="0.25">
      <c r="B31" s="194" t="s">
        <v>125</v>
      </c>
      <c r="C31" s="195">
        <v>12596</v>
      </c>
      <c r="D31" s="195">
        <v>17703</v>
      </c>
      <c r="E31" s="195">
        <v>51227</v>
      </c>
      <c r="F31" s="195">
        <v>43823</v>
      </c>
      <c r="G31" s="195">
        <v>46352</v>
      </c>
      <c r="H31" s="195">
        <v>42680</v>
      </c>
      <c r="I31" s="212">
        <f t="shared" si="14"/>
        <v>-7.9219882637210914E-2</v>
      </c>
      <c r="J31" s="194">
        <f t="shared" si="13"/>
        <v>-3672</v>
      </c>
      <c r="K31" s="196">
        <f t="shared" si="12"/>
        <v>1.3638610689564705E-2</v>
      </c>
    </row>
    <row r="32" spans="1:23" x14ac:dyDescent="0.25">
      <c r="B32" s="194" t="s">
        <v>121</v>
      </c>
      <c r="C32" s="195">
        <v>20610</v>
      </c>
      <c r="D32" s="195">
        <v>23467</v>
      </c>
      <c r="E32" s="195">
        <v>57020</v>
      </c>
      <c r="F32" s="195">
        <v>53612</v>
      </c>
      <c r="G32" s="195">
        <v>55551</v>
      </c>
      <c r="H32" s="195">
        <v>51405</v>
      </c>
      <c r="I32" s="212">
        <f t="shared" si="14"/>
        <v>-7.4634119997839865E-2</v>
      </c>
      <c r="J32" s="194">
        <f t="shared" si="13"/>
        <v>-4146</v>
      </c>
      <c r="K32" s="196">
        <f t="shared" si="12"/>
        <v>1.6426728737044836E-2</v>
      </c>
    </row>
    <row r="33" spans="2:11" x14ac:dyDescent="0.25">
      <c r="B33" s="194" t="s">
        <v>130</v>
      </c>
      <c r="C33" s="195">
        <v>9535</v>
      </c>
      <c r="D33" s="195">
        <v>571</v>
      </c>
      <c r="E33" s="195">
        <v>12945</v>
      </c>
      <c r="F33" s="195">
        <v>14488</v>
      </c>
      <c r="G33" s="195">
        <v>14309</v>
      </c>
      <c r="H33" s="195">
        <v>12361</v>
      </c>
      <c r="I33" s="212">
        <f t="shared" si="14"/>
        <v>-0.13613809490530437</v>
      </c>
      <c r="J33" s="194">
        <f t="shared" si="13"/>
        <v>-1948</v>
      </c>
      <c r="K33" s="196">
        <f t="shared" si="12"/>
        <v>3.9500203077251477E-3</v>
      </c>
    </row>
    <row r="34" spans="2:11" x14ac:dyDescent="0.25">
      <c r="B34" s="194" t="s">
        <v>133</v>
      </c>
      <c r="C34" s="195">
        <v>11137</v>
      </c>
      <c r="D34" s="195">
        <v>351</v>
      </c>
      <c r="E34" s="195">
        <v>7937</v>
      </c>
      <c r="F34" s="195">
        <v>12828</v>
      </c>
      <c r="G34" s="195">
        <v>11734</v>
      </c>
      <c r="H34" s="195">
        <v>9928</v>
      </c>
      <c r="I34" s="212">
        <f t="shared" si="14"/>
        <v>-0.15391170956195666</v>
      </c>
      <c r="J34" s="194">
        <f t="shared" si="13"/>
        <v>-1806</v>
      </c>
      <c r="K34" s="196">
        <f t="shared" si="12"/>
        <v>3.1725428052014619E-3</v>
      </c>
    </row>
    <row r="35" spans="2:11" x14ac:dyDescent="0.25">
      <c r="B35" s="199" t="s">
        <v>147</v>
      </c>
      <c r="C35" s="200">
        <f t="shared" ref="C35" si="15">C27-SUM(C28:C34)</f>
        <v>63982</v>
      </c>
      <c r="D35" s="200">
        <f t="shared" ref="D35:H35" si="16">D27-SUM(D28:D34)</f>
        <v>82863</v>
      </c>
      <c r="E35" s="200">
        <f t="shared" si="16"/>
        <v>195292</v>
      </c>
      <c r="F35" s="200">
        <f t="shared" si="16"/>
        <v>218406</v>
      </c>
      <c r="G35" s="200">
        <f t="shared" si="16"/>
        <v>242315</v>
      </c>
      <c r="H35" s="200">
        <f t="shared" si="16"/>
        <v>227651</v>
      </c>
      <c r="I35" s="213">
        <f t="shared" si="14"/>
        <v>-6.0516270144233775E-2</v>
      </c>
      <c r="J35" s="199">
        <f>H35-G35</f>
        <v>-14664</v>
      </c>
      <c r="K35" s="201">
        <f t="shared" si="12"/>
        <v>7.2747032851220583E-2</v>
      </c>
    </row>
    <row r="36" spans="2:11" x14ac:dyDescent="0.25">
      <c r="B36" s="186" t="s">
        <v>47</v>
      </c>
      <c r="C36" s="184"/>
      <c r="D36" s="184"/>
      <c r="E36" s="184"/>
      <c r="F36" s="184"/>
      <c r="G36" s="184"/>
      <c r="H36" s="184"/>
      <c r="I36" s="185"/>
      <c r="J36" s="185"/>
      <c r="K36" s="184"/>
    </row>
    <row r="37" spans="2:11" x14ac:dyDescent="0.25">
      <c r="B37" s="187" t="s">
        <v>70</v>
      </c>
      <c r="C37" s="209">
        <f t="shared" ref="C37:H37" si="17">C38+C41</f>
        <v>170072</v>
      </c>
      <c r="D37" s="209">
        <f t="shared" si="17"/>
        <v>104720</v>
      </c>
      <c r="E37" s="209">
        <f t="shared" si="17"/>
        <v>546989</v>
      </c>
      <c r="F37" s="209">
        <f t="shared" si="17"/>
        <v>598309</v>
      </c>
      <c r="G37" s="209">
        <f t="shared" si="17"/>
        <v>639306</v>
      </c>
      <c r="H37" s="209">
        <f t="shared" si="17"/>
        <v>653963</v>
      </c>
      <c r="I37" s="210">
        <f>IFERROR(H37/G37-1,"-")</f>
        <v>2.2926423340309698E-2</v>
      </c>
      <c r="J37" s="209">
        <f>H37-G37</f>
        <v>14657</v>
      </c>
      <c r="K37" s="210">
        <f t="shared" ref="K37:K49" si="18">H37/H$9</f>
        <v>0.20897719686925501</v>
      </c>
    </row>
    <row r="38" spans="2:11" x14ac:dyDescent="0.25">
      <c r="B38" s="190" t="s">
        <v>99</v>
      </c>
      <c r="C38" s="191">
        <v>17227</v>
      </c>
      <c r="D38" s="191">
        <v>25291</v>
      </c>
      <c r="E38" s="191">
        <v>65724</v>
      </c>
      <c r="F38" s="191">
        <v>63307</v>
      </c>
      <c r="G38" s="191">
        <v>63481</v>
      </c>
      <c r="H38" s="191">
        <v>62658</v>
      </c>
      <c r="I38" s="211">
        <f>IFERROR(H38/G38-1,"-")</f>
        <v>-1.2964509065704677E-2</v>
      </c>
      <c r="J38" s="190">
        <f t="shared" ref="J38:J48" si="19">H38-G38</f>
        <v>-823</v>
      </c>
      <c r="K38" s="192">
        <f t="shared" si="18"/>
        <v>2.002268201937079E-2</v>
      </c>
    </row>
    <row r="39" spans="2:11" x14ac:dyDescent="0.25">
      <c r="B39" s="194" t="s">
        <v>105</v>
      </c>
      <c r="C39" s="195">
        <v>3211</v>
      </c>
      <c r="D39" s="195">
        <v>6077</v>
      </c>
      <c r="E39" s="195">
        <v>15251</v>
      </c>
      <c r="F39" s="195">
        <v>22736</v>
      </c>
      <c r="G39" s="195">
        <v>25712</v>
      </c>
      <c r="H39" s="195">
        <v>23957</v>
      </c>
      <c r="I39" s="212">
        <f>IFERROR(H39/G39-1,"-")</f>
        <v>-6.825606720597388E-2</v>
      </c>
      <c r="J39" s="194">
        <f t="shared" si="19"/>
        <v>-1755</v>
      </c>
      <c r="K39" s="196">
        <f t="shared" si="18"/>
        <v>7.6555809814878549E-3</v>
      </c>
    </row>
    <row r="40" spans="2:11" x14ac:dyDescent="0.25">
      <c r="B40" s="194" t="s">
        <v>102</v>
      </c>
      <c r="C40" s="195">
        <v>14016</v>
      </c>
      <c r="D40" s="195">
        <v>19214</v>
      </c>
      <c r="E40" s="195">
        <v>50473</v>
      </c>
      <c r="F40" s="195">
        <v>40571</v>
      </c>
      <c r="G40" s="195">
        <v>37769</v>
      </c>
      <c r="H40" s="195">
        <v>38701</v>
      </c>
      <c r="I40" s="212">
        <f>IFERROR(H40/G40-1,"-")</f>
        <v>2.4676321851253569E-2</v>
      </c>
      <c r="J40" s="194">
        <f t="shared" si="19"/>
        <v>932</v>
      </c>
      <c r="K40" s="196">
        <f t="shared" si="18"/>
        <v>1.2367101037882935E-2</v>
      </c>
    </row>
    <row r="41" spans="2:11" x14ac:dyDescent="0.25">
      <c r="B41" s="190" t="s">
        <v>109</v>
      </c>
      <c r="C41" s="191">
        <v>152845</v>
      </c>
      <c r="D41" s="191">
        <v>79429</v>
      </c>
      <c r="E41" s="191">
        <v>481265</v>
      </c>
      <c r="F41" s="191">
        <v>535002</v>
      </c>
      <c r="G41" s="191">
        <v>575825</v>
      </c>
      <c r="H41" s="191">
        <v>591305</v>
      </c>
      <c r="I41" s="211">
        <f>IFERROR(H41/G41-1,"-")</f>
        <v>2.6883167629053961E-2</v>
      </c>
      <c r="J41" s="190">
        <f t="shared" si="19"/>
        <v>15480</v>
      </c>
      <c r="K41" s="192">
        <f t="shared" si="18"/>
        <v>0.18895451484988421</v>
      </c>
    </row>
    <row r="42" spans="2:11" x14ac:dyDescent="0.25">
      <c r="B42" s="194" t="s">
        <v>112</v>
      </c>
      <c r="C42" s="195">
        <v>72052</v>
      </c>
      <c r="D42" s="195">
        <v>23046</v>
      </c>
      <c r="E42" s="195">
        <v>252047</v>
      </c>
      <c r="F42" s="195">
        <v>279605</v>
      </c>
      <c r="G42" s="195">
        <v>310166</v>
      </c>
      <c r="H42" s="195">
        <v>310182</v>
      </c>
      <c r="I42" s="212">
        <f t="shared" ref="I42:I49" si="20">IFERROR(H42/G42-1,"-")</f>
        <v>5.1585280140376E-5</v>
      </c>
      <c r="J42" s="194">
        <f t="shared" si="19"/>
        <v>16</v>
      </c>
      <c r="K42" s="196">
        <f t="shared" si="18"/>
        <v>9.9120232917304582E-2</v>
      </c>
    </row>
    <row r="43" spans="2:11" x14ac:dyDescent="0.25">
      <c r="B43" s="194" t="s">
        <v>115</v>
      </c>
      <c r="C43" s="195">
        <v>9329</v>
      </c>
      <c r="D43" s="195">
        <v>4980</v>
      </c>
      <c r="E43" s="195">
        <v>18455</v>
      </c>
      <c r="F43" s="195">
        <v>23623</v>
      </c>
      <c r="G43" s="195">
        <v>21917</v>
      </c>
      <c r="H43" s="195">
        <v>23373</v>
      </c>
      <c r="I43" s="212">
        <f t="shared" si="20"/>
        <v>6.6432449696582463E-2</v>
      </c>
      <c r="J43" s="194">
        <f t="shared" si="19"/>
        <v>1456</v>
      </c>
      <c r="K43" s="196">
        <f t="shared" si="18"/>
        <v>7.4689608164760042E-3</v>
      </c>
    </row>
    <row r="44" spans="2:11" x14ac:dyDescent="0.25">
      <c r="B44" s="194" t="s">
        <v>118</v>
      </c>
      <c r="C44" s="195">
        <v>4807</v>
      </c>
      <c r="D44" s="195">
        <v>5400</v>
      </c>
      <c r="E44" s="195">
        <v>12810</v>
      </c>
      <c r="F44" s="195">
        <v>15002</v>
      </c>
      <c r="G44" s="195">
        <v>14778</v>
      </c>
      <c r="H44" s="195">
        <v>16233</v>
      </c>
      <c r="I44" s="212">
        <f t="shared" si="20"/>
        <v>9.84571660576532E-2</v>
      </c>
      <c r="J44" s="194">
        <f t="shared" si="19"/>
        <v>1455</v>
      </c>
      <c r="K44" s="196">
        <f t="shared" si="18"/>
        <v>5.1873375661598839E-3</v>
      </c>
    </row>
    <row r="45" spans="2:11" x14ac:dyDescent="0.25">
      <c r="B45" s="194" t="s">
        <v>125</v>
      </c>
      <c r="C45" s="195">
        <v>6115</v>
      </c>
      <c r="D45" s="195">
        <v>6290</v>
      </c>
      <c r="E45" s="195">
        <v>23796</v>
      </c>
      <c r="F45" s="195">
        <v>22128</v>
      </c>
      <c r="G45" s="195">
        <v>23732</v>
      </c>
      <c r="H45" s="195">
        <v>21962</v>
      </c>
      <c r="I45" s="212">
        <f t="shared" si="20"/>
        <v>-7.4582841732681593E-2</v>
      </c>
      <c r="J45" s="194">
        <f t="shared" si="19"/>
        <v>-1770</v>
      </c>
      <c r="K45" s="196">
        <f t="shared" si="18"/>
        <v>7.0180686027230569E-3</v>
      </c>
    </row>
    <row r="46" spans="2:11" x14ac:dyDescent="0.25">
      <c r="B46" s="194" t="s">
        <v>121</v>
      </c>
      <c r="C46" s="195">
        <v>10387</v>
      </c>
      <c r="D46" s="195">
        <v>7285</v>
      </c>
      <c r="E46" s="195">
        <v>21823</v>
      </c>
      <c r="F46" s="195">
        <v>26022</v>
      </c>
      <c r="G46" s="195">
        <v>26483</v>
      </c>
      <c r="H46" s="195">
        <v>23423</v>
      </c>
      <c r="I46" s="212">
        <f t="shared" si="20"/>
        <v>-0.1155458218479779</v>
      </c>
      <c r="J46" s="194">
        <f t="shared" si="19"/>
        <v>-3060</v>
      </c>
      <c r="K46" s="196">
        <f t="shared" si="18"/>
        <v>7.4849385703297583E-3</v>
      </c>
    </row>
    <row r="47" spans="2:11" x14ac:dyDescent="0.25">
      <c r="B47" s="194" t="s">
        <v>130</v>
      </c>
      <c r="C47" s="195">
        <v>3321</v>
      </c>
      <c r="D47" s="195">
        <v>974</v>
      </c>
      <c r="E47" s="195">
        <v>5532</v>
      </c>
      <c r="F47" s="195">
        <v>6433</v>
      </c>
      <c r="G47" s="195">
        <v>5436</v>
      </c>
      <c r="H47" s="195">
        <v>6763</v>
      </c>
      <c r="I47" s="212">
        <f t="shared" si="20"/>
        <v>0.24411331861662977</v>
      </c>
      <c r="J47" s="194">
        <f t="shared" si="19"/>
        <v>1327</v>
      </c>
      <c r="K47" s="196">
        <f t="shared" si="18"/>
        <v>2.1611509862588122E-3</v>
      </c>
    </row>
    <row r="48" spans="2:11" x14ac:dyDescent="0.25">
      <c r="B48" s="194" t="s">
        <v>133</v>
      </c>
      <c r="C48" s="195">
        <v>4763</v>
      </c>
      <c r="D48" s="195">
        <v>664</v>
      </c>
      <c r="E48" s="195">
        <v>3971</v>
      </c>
      <c r="F48" s="195">
        <v>6080</v>
      </c>
      <c r="G48" s="195">
        <v>5414</v>
      </c>
      <c r="H48" s="195">
        <v>4768</v>
      </c>
      <c r="I48" s="212">
        <f t="shared" si="20"/>
        <v>-0.11932028075360179</v>
      </c>
      <c r="J48" s="194">
        <f t="shared" si="19"/>
        <v>-646</v>
      </c>
      <c r="K48" s="196">
        <f t="shared" si="18"/>
        <v>1.523638607494014E-3</v>
      </c>
    </row>
    <row r="49" spans="2:11" x14ac:dyDescent="0.25">
      <c r="B49" s="199" t="s">
        <v>147</v>
      </c>
      <c r="C49" s="200">
        <f t="shared" ref="C49" si="21">C41-SUM(C42:C48)</f>
        <v>42071</v>
      </c>
      <c r="D49" s="200">
        <f t="shared" ref="D49:H49" si="22">D41-SUM(D42:D48)</f>
        <v>30790</v>
      </c>
      <c r="E49" s="200">
        <f t="shared" si="22"/>
        <v>142831</v>
      </c>
      <c r="F49" s="200">
        <f t="shared" si="22"/>
        <v>156109</v>
      </c>
      <c r="G49" s="200">
        <f t="shared" si="22"/>
        <v>167899</v>
      </c>
      <c r="H49" s="200">
        <f t="shared" si="22"/>
        <v>184601</v>
      </c>
      <c r="I49" s="213">
        <f t="shared" si="20"/>
        <v>9.9476470973621112E-2</v>
      </c>
      <c r="J49" s="199">
        <f>H49-G49</f>
        <v>16702</v>
      </c>
      <c r="K49" s="201">
        <f t="shared" si="18"/>
        <v>5.8990186783138103E-2</v>
      </c>
    </row>
    <row r="50" spans="2:11" x14ac:dyDescent="0.25">
      <c r="B50" s="186" t="s">
        <v>48</v>
      </c>
      <c r="C50" s="184"/>
      <c r="D50" s="184"/>
      <c r="E50" s="184"/>
      <c r="F50" s="184"/>
      <c r="G50" s="184"/>
      <c r="H50" s="184"/>
      <c r="I50" s="185"/>
      <c r="J50" s="185"/>
      <c r="K50" s="184"/>
    </row>
    <row r="51" spans="2:11" x14ac:dyDescent="0.25">
      <c r="B51" s="187" t="s">
        <v>70</v>
      </c>
      <c r="C51" s="209">
        <f t="shared" ref="C51:H51" si="23">C52+C55</f>
        <v>9467</v>
      </c>
      <c r="D51" s="209">
        <f t="shared" si="23"/>
        <v>11501</v>
      </c>
      <c r="E51" s="209">
        <f t="shared" si="23"/>
        <v>25651</v>
      </c>
      <c r="F51" s="209">
        <f t="shared" si="23"/>
        <v>36596</v>
      </c>
      <c r="G51" s="209">
        <f t="shared" si="23"/>
        <v>31559</v>
      </c>
      <c r="H51" s="209">
        <f t="shared" si="23"/>
        <v>31490</v>
      </c>
      <c r="I51" s="210">
        <f>IFERROR(H51/G51-1,"-")</f>
        <v>-2.1863810640387893E-3</v>
      </c>
      <c r="J51" s="209">
        <f>H51-G51</f>
        <v>-69</v>
      </c>
      <c r="K51" s="210">
        <f t="shared" ref="K51:K63" si="24">H51/H$9</f>
        <v>1.0062789377094483E-2</v>
      </c>
    </row>
    <row r="52" spans="2:11" x14ac:dyDescent="0.25">
      <c r="B52" s="190" t="s">
        <v>99</v>
      </c>
      <c r="C52" s="191">
        <v>1779</v>
      </c>
      <c r="D52" s="191">
        <v>3943</v>
      </c>
      <c r="E52" s="191">
        <v>4228</v>
      </c>
      <c r="F52" s="191">
        <v>16245</v>
      </c>
      <c r="G52" s="191">
        <v>8595</v>
      </c>
      <c r="H52" s="191">
        <v>6923</v>
      </c>
      <c r="I52" s="211">
        <f>IFERROR(H52/G52-1,"-")</f>
        <v>-0.19453170447934842</v>
      </c>
      <c r="J52" s="190">
        <f t="shared" ref="J52:J62" si="25">H52-G52</f>
        <v>-1672</v>
      </c>
      <c r="K52" s="192">
        <f t="shared" si="24"/>
        <v>2.212279798590826E-3</v>
      </c>
    </row>
    <row r="53" spans="2:11" x14ac:dyDescent="0.25">
      <c r="B53" s="194" t="s">
        <v>105</v>
      </c>
      <c r="C53" s="195">
        <v>1332</v>
      </c>
      <c r="D53" s="195">
        <v>1994</v>
      </c>
      <c r="E53" s="195">
        <v>2187</v>
      </c>
      <c r="F53" s="195">
        <v>12177</v>
      </c>
      <c r="G53" s="195">
        <v>5827</v>
      </c>
      <c r="H53" s="195">
        <v>4079</v>
      </c>
      <c r="I53" s="212">
        <f>IFERROR(H53/G53-1,"-")</f>
        <v>-0.29998283851038265</v>
      </c>
      <c r="J53" s="194">
        <f t="shared" si="25"/>
        <v>-1748</v>
      </c>
      <c r="K53" s="196">
        <f t="shared" si="24"/>
        <v>1.3034651593892791E-3</v>
      </c>
    </row>
    <row r="54" spans="2:11" x14ac:dyDescent="0.25">
      <c r="B54" s="194" t="s">
        <v>102</v>
      </c>
      <c r="C54" s="195">
        <v>447</v>
      </c>
      <c r="D54" s="195">
        <v>1949</v>
      </c>
      <c r="E54" s="195">
        <v>2041</v>
      </c>
      <c r="F54" s="195">
        <v>4068</v>
      </c>
      <c r="G54" s="195">
        <v>2768</v>
      </c>
      <c r="H54" s="195">
        <v>2844</v>
      </c>
      <c r="I54" s="212">
        <f>IFERROR(H54/G54-1,"-")</f>
        <v>2.7456647398844014E-2</v>
      </c>
      <c r="J54" s="194">
        <f t="shared" si="25"/>
        <v>76</v>
      </c>
      <c r="K54" s="196">
        <f t="shared" si="24"/>
        <v>9.0881463920154692E-4</v>
      </c>
    </row>
    <row r="55" spans="2:11" x14ac:dyDescent="0.25">
      <c r="B55" s="190" t="s">
        <v>109</v>
      </c>
      <c r="C55" s="191">
        <v>7688</v>
      </c>
      <c r="D55" s="191">
        <v>7558</v>
      </c>
      <c r="E55" s="191">
        <v>21423</v>
      </c>
      <c r="F55" s="191">
        <v>20351</v>
      </c>
      <c r="G55" s="191">
        <v>22964</v>
      </c>
      <c r="H55" s="191">
        <v>24567</v>
      </c>
      <c r="I55" s="211">
        <f>IFERROR(H55/G55-1,"-")</f>
        <v>6.9804912036230515E-2</v>
      </c>
      <c r="J55" s="190">
        <f t="shared" si="25"/>
        <v>1603</v>
      </c>
      <c r="K55" s="192">
        <f t="shared" si="24"/>
        <v>7.8505095785036585E-3</v>
      </c>
    </row>
    <row r="56" spans="2:11" x14ac:dyDescent="0.25">
      <c r="B56" s="194" t="s">
        <v>112</v>
      </c>
      <c r="C56" s="195">
        <v>2338</v>
      </c>
      <c r="D56" s="195">
        <v>1039</v>
      </c>
      <c r="E56" s="195">
        <v>7632</v>
      </c>
      <c r="F56" s="195">
        <v>6643</v>
      </c>
      <c r="G56" s="195">
        <v>8156</v>
      </c>
      <c r="H56" s="195">
        <v>8933</v>
      </c>
      <c r="I56" s="212">
        <f t="shared" ref="I56:I63" si="26">IFERROR(H56/G56-1,"-")</f>
        <v>9.5267287886218632E-2</v>
      </c>
      <c r="J56" s="194">
        <f t="shared" si="25"/>
        <v>777</v>
      </c>
      <c r="K56" s="196">
        <f t="shared" si="24"/>
        <v>2.8545855035117507E-3</v>
      </c>
    </row>
    <row r="57" spans="2:11" x14ac:dyDescent="0.25">
      <c r="B57" s="194" t="s">
        <v>115</v>
      </c>
      <c r="C57" s="195">
        <v>2232</v>
      </c>
      <c r="D57" s="195">
        <v>2433</v>
      </c>
      <c r="E57" s="195">
        <v>4682</v>
      </c>
      <c r="F57" s="195">
        <v>3480</v>
      </c>
      <c r="G57" s="195">
        <v>4392</v>
      </c>
      <c r="H57" s="195">
        <v>4601</v>
      </c>
      <c r="I57" s="212">
        <f t="shared" si="26"/>
        <v>4.7586520947176636E-2</v>
      </c>
      <c r="J57" s="194">
        <f t="shared" si="25"/>
        <v>209</v>
      </c>
      <c r="K57" s="196">
        <f t="shared" si="24"/>
        <v>1.4702729096224745E-3</v>
      </c>
    </row>
    <row r="58" spans="2:11" x14ac:dyDescent="0.25">
      <c r="B58" s="194" t="s">
        <v>118</v>
      </c>
      <c r="C58" s="195">
        <v>440</v>
      </c>
      <c r="D58" s="195">
        <v>1034</v>
      </c>
      <c r="E58" s="195">
        <v>1821</v>
      </c>
      <c r="F58" s="195">
        <v>2075</v>
      </c>
      <c r="G58" s="195">
        <v>1710</v>
      </c>
      <c r="H58" s="195">
        <v>1941</v>
      </c>
      <c r="I58" s="212">
        <f t="shared" si="26"/>
        <v>0.13508771929824559</v>
      </c>
      <c r="J58" s="194">
        <f t="shared" si="25"/>
        <v>231</v>
      </c>
      <c r="K58" s="196">
        <f t="shared" si="24"/>
        <v>6.2025640460274347E-4</v>
      </c>
    </row>
    <row r="59" spans="2:11" x14ac:dyDescent="0.25">
      <c r="B59" s="194" t="s">
        <v>125</v>
      </c>
      <c r="C59" s="195">
        <v>230</v>
      </c>
      <c r="D59" s="195">
        <v>196</v>
      </c>
      <c r="E59" s="195">
        <v>605</v>
      </c>
      <c r="F59" s="195">
        <v>443</v>
      </c>
      <c r="G59" s="195">
        <v>756</v>
      </c>
      <c r="H59" s="195">
        <v>750</v>
      </c>
      <c r="I59" s="212">
        <f t="shared" si="26"/>
        <v>-7.9365079365079083E-3</v>
      </c>
      <c r="J59" s="194">
        <f t="shared" si="25"/>
        <v>-6</v>
      </c>
      <c r="K59" s="196">
        <f t="shared" si="24"/>
        <v>2.3966630780631511E-4</v>
      </c>
    </row>
    <row r="60" spans="2:11" x14ac:dyDescent="0.25">
      <c r="B60" s="194" t="s">
        <v>121</v>
      </c>
      <c r="C60" s="195">
        <v>161</v>
      </c>
      <c r="D60" s="195">
        <v>219</v>
      </c>
      <c r="E60" s="195">
        <v>538</v>
      </c>
      <c r="F60" s="195">
        <v>447</v>
      </c>
      <c r="G60" s="195">
        <v>502</v>
      </c>
      <c r="H60" s="195">
        <v>609</v>
      </c>
      <c r="I60" s="212">
        <f t="shared" si="26"/>
        <v>0.21314741035856577</v>
      </c>
      <c r="J60" s="194">
        <f t="shared" si="25"/>
        <v>107</v>
      </c>
      <c r="K60" s="196">
        <f t="shared" si="24"/>
        <v>1.9460904193872787E-4</v>
      </c>
    </row>
    <row r="61" spans="2:11" x14ac:dyDescent="0.25">
      <c r="B61" s="194" t="s">
        <v>130</v>
      </c>
      <c r="C61" s="195">
        <v>76</v>
      </c>
      <c r="D61" s="195">
        <v>42</v>
      </c>
      <c r="E61" s="195">
        <v>62</v>
      </c>
      <c r="F61" s="195">
        <v>165</v>
      </c>
      <c r="G61" s="195">
        <v>96</v>
      </c>
      <c r="H61" s="195">
        <v>174</v>
      </c>
      <c r="I61" s="212">
        <f t="shared" si="26"/>
        <v>0.8125</v>
      </c>
      <c r="J61" s="194">
        <f t="shared" si="25"/>
        <v>78</v>
      </c>
      <c r="K61" s="196">
        <f t="shared" si="24"/>
        <v>5.5602583411065105E-5</v>
      </c>
    </row>
    <row r="62" spans="2:11" x14ac:dyDescent="0.25">
      <c r="B62" s="194" t="s">
        <v>133</v>
      </c>
      <c r="C62" s="195">
        <v>105</v>
      </c>
      <c r="D62" s="195">
        <v>23</v>
      </c>
      <c r="E62" s="195">
        <v>97</v>
      </c>
      <c r="F62" s="195">
        <v>140</v>
      </c>
      <c r="G62" s="195">
        <v>90</v>
      </c>
      <c r="H62" s="195">
        <v>417</v>
      </c>
      <c r="I62" s="212">
        <f t="shared" si="26"/>
        <v>3.6333333333333337</v>
      </c>
      <c r="J62" s="194">
        <f t="shared" si="25"/>
        <v>327</v>
      </c>
      <c r="K62" s="196">
        <f t="shared" si="24"/>
        <v>1.3325446714031121E-4</v>
      </c>
    </row>
    <row r="63" spans="2:11" x14ac:dyDescent="0.25">
      <c r="B63" s="199" t="s">
        <v>147</v>
      </c>
      <c r="C63" s="200">
        <f t="shared" ref="C63" si="27">C55-SUM(C56:C62)</f>
        <v>2106</v>
      </c>
      <c r="D63" s="200">
        <f t="shared" ref="D63:H63" si="28">D55-SUM(D56:D62)</f>
        <v>2572</v>
      </c>
      <c r="E63" s="200">
        <f t="shared" si="28"/>
        <v>5986</v>
      </c>
      <c r="F63" s="200">
        <f t="shared" si="28"/>
        <v>6958</v>
      </c>
      <c r="G63" s="200">
        <f t="shared" si="28"/>
        <v>7262</v>
      </c>
      <c r="H63" s="200">
        <f t="shared" si="28"/>
        <v>7142</v>
      </c>
      <c r="I63" s="213">
        <f t="shared" si="26"/>
        <v>-1.6524373450840013E-2</v>
      </c>
      <c r="J63" s="199">
        <f>H63-G63</f>
        <v>-120</v>
      </c>
      <c r="K63" s="201">
        <f t="shared" si="24"/>
        <v>2.2822623604702701E-3</v>
      </c>
    </row>
    <row r="64" spans="2:11" x14ac:dyDescent="0.25">
      <c r="B64" s="186" t="s">
        <v>49</v>
      </c>
      <c r="C64" s="184"/>
      <c r="D64" s="184"/>
      <c r="E64" s="184"/>
      <c r="F64" s="184"/>
      <c r="G64" s="184"/>
      <c r="H64" s="184"/>
      <c r="I64" s="185"/>
      <c r="J64" s="185"/>
      <c r="K64" s="184"/>
    </row>
    <row r="65" spans="2:11" x14ac:dyDescent="0.25">
      <c r="B65" s="187" t="s">
        <v>70</v>
      </c>
      <c r="C65" s="209">
        <f t="shared" ref="C65:H65" si="29">C66+C69</f>
        <v>36134</v>
      </c>
      <c r="D65" s="209">
        <f t="shared" si="29"/>
        <v>32734</v>
      </c>
      <c r="E65" s="209">
        <f t="shared" si="29"/>
        <v>110290</v>
      </c>
      <c r="F65" s="209">
        <f t="shared" si="29"/>
        <v>131067</v>
      </c>
      <c r="G65" s="209">
        <f t="shared" si="29"/>
        <v>146251</v>
      </c>
      <c r="H65" s="209">
        <f t="shared" si="29"/>
        <v>113680</v>
      </c>
      <c r="I65" s="210">
        <f>IFERROR(H65/G65-1,"-")</f>
        <v>-0.22270616953046474</v>
      </c>
      <c r="J65" s="209">
        <f>H65-G65</f>
        <v>-32571</v>
      </c>
      <c r="K65" s="210">
        <f t="shared" ref="K65:K77" si="30">H65/H$9</f>
        <v>3.6327021161895866E-2</v>
      </c>
    </row>
    <row r="66" spans="2:11" x14ac:dyDescent="0.25">
      <c r="B66" s="190" t="s">
        <v>99</v>
      </c>
      <c r="C66" s="191">
        <v>16811</v>
      </c>
      <c r="D66" s="191">
        <v>19069</v>
      </c>
      <c r="E66" s="191">
        <v>28303</v>
      </c>
      <c r="F66" s="191">
        <v>37924</v>
      </c>
      <c r="G66" s="191">
        <v>46749</v>
      </c>
      <c r="H66" s="191">
        <v>32277</v>
      </c>
      <c r="I66" s="211">
        <f>IFERROR(H66/G66-1,"-")</f>
        <v>-0.30956811910415194</v>
      </c>
      <c r="J66" s="190">
        <f t="shared" ref="J66:J76" si="31">H66-G66</f>
        <v>-14472</v>
      </c>
      <c r="K66" s="192">
        <f t="shared" si="30"/>
        <v>1.0314279222752578E-2</v>
      </c>
    </row>
    <row r="67" spans="2:11" x14ac:dyDescent="0.25">
      <c r="B67" s="194" t="s">
        <v>105</v>
      </c>
      <c r="C67" s="195">
        <v>5981</v>
      </c>
      <c r="D67" s="195">
        <v>16643</v>
      </c>
      <c r="E67" s="195">
        <v>22434</v>
      </c>
      <c r="F67" s="195">
        <v>27984</v>
      </c>
      <c r="G67" s="195">
        <v>28822</v>
      </c>
      <c r="H67" s="195">
        <v>10995</v>
      </c>
      <c r="I67" s="212">
        <f>IFERROR(H67/G67-1,"-")</f>
        <v>-0.6185205745610991</v>
      </c>
      <c r="J67" s="194">
        <f t="shared" si="31"/>
        <v>-17827</v>
      </c>
      <c r="K67" s="196">
        <f t="shared" si="30"/>
        <v>3.5135080724405794E-3</v>
      </c>
    </row>
    <row r="68" spans="2:11" x14ac:dyDescent="0.25">
      <c r="B68" s="194" t="s">
        <v>102</v>
      </c>
      <c r="C68" s="195">
        <v>10830</v>
      </c>
      <c r="D68" s="195">
        <v>2426</v>
      </c>
      <c r="E68" s="195">
        <v>5869</v>
      </c>
      <c r="F68" s="195">
        <v>9940</v>
      </c>
      <c r="G68" s="195">
        <v>17927</v>
      </c>
      <c r="H68" s="195">
        <v>21282</v>
      </c>
      <c r="I68" s="212">
        <f>IFERROR(H68/G68-1,"-")</f>
        <v>0.18714787750320738</v>
      </c>
      <c r="J68" s="194">
        <f t="shared" si="31"/>
        <v>3355</v>
      </c>
      <c r="K68" s="196">
        <f t="shared" si="30"/>
        <v>6.8007711503119978E-3</v>
      </c>
    </row>
    <row r="69" spans="2:11" x14ac:dyDescent="0.25">
      <c r="B69" s="190" t="s">
        <v>109</v>
      </c>
      <c r="C69" s="191">
        <v>19323</v>
      </c>
      <c r="D69" s="191">
        <v>13665</v>
      </c>
      <c r="E69" s="191">
        <v>81987</v>
      </c>
      <c r="F69" s="191">
        <v>93143</v>
      </c>
      <c r="G69" s="191">
        <v>99502</v>
      </c>
      <c r="H69" s="191">
        <v>81403</v>
      </c>
      <c r="I69" s="211">
        <f>IFERROR(H69/G69-1,"-")</f>
        <v>-0.18189584128962233</v>
      </c>
      <c r="J69" s="190">
        <f t="shared" si="31"/>
        <v>-18099</v>
      </c>
      <c r="K69" s="192">
        <f t="shared" si="30"/>
        <v>2.6012741939143293E-2</v>
      </c>
    </row>
    <row r="70" spans="2:11" x14ac:dyDescent="0.25">
      <c r="B70" s="194" t="s">
        <v>112</v>
      </c>
      <c r="C70" s="195">
        <v>7331</v>
      </c>
      <c r="D70" s="195">
        <v>2176</v>
      </c>
      <c r="E70" s="195">
        <v>38844</v>
      </c>
      <c r="F70" s="195">
        <v>35609</v>
      </c>
      <c r="G70" s="195">
        <v>34444</v>
      </c>
      <c r="H70" s="195">
        <v>35263</v>
      </c>
      <c r="I70" s="212">
        <f t="shared" ref="I70:I77" si="32">IFERROR(H70/G70-1,"-")</f>
        <v>2.3777726164208479E-2</v>
      </c>
      <c r="J70" s="194">
        <f t="shared" si="31"/>
        <v>819</v>
      </c>
      <c r="K70" s="196">
        <f t="shared" si="30"/>
        <v>1.1268470682898787E-2</v>
      </c>
    </row>
    <row r="71" spans="2:11" x14ac:dyDescent="0.25">
      <c r="B71" s="194" t="s">
        <v>115</v>
      </c>
      <c r="C71" s="195">
        <v>2362</v>
      </c>
      <c r="D71" s="195">
        <v>1757</v>
      </c>
      <c r="E71" s="195">
        <v>5542</v>
      </c>
      <c r="F71" s="195">
        <v>6459</v>
      </c>
      <c r="G71" s="195">
        <v>6633</v>
      </c>
      <c r="H71" s="195">
        <v>7292</v>
      </c>
      <c r="I71" s="212">
        <f t="shared" si="32"/>
        <v>9.9351726217397962E-2</v>
      </c>
      <c r="J71" s="194">
        <f t="shared" si="31"/>
        <v>659</v>
      </c>
      <c r="K71" s="196">
        <f t="shared" si="30"/>
        <v>2.3301956220315332E-3</v>
      </c>
    </row>
    <row r="72" spans="2:11" x14ac:dyDescent="0.25">
      <c r="B72" s="194" t="s">
        <v>118</v>
      </c>
      <c r="C72" s="195">
        <v>2592</v>
      </c>
      <c r="D72" s="195">
        <v>2662</v>
      </c>
      <c r="E72" s="195">
        <v>11009</v>
      </c>
      <c r="F72" s="195">
        <v>10476</v>
      </c>
      <c r="G72" s="195">
        <v>13838</v>
      </c>
      <c r="H72" s="195">
        <v>7605</v>
      </c>
      <c r="I72" s="212">
        <f t="shared" si="32"/>
        <v>-0.45042636219106802</v>
      </c>
      <c r="J72" s="194">
        <f t="shared" si="31"/>
        <v>-6233</v>
      </c>
      <c r="K72" s="196">
        <f t="shared" si="30"/>
        <v>2.4302163611560354E-3</v>
      </c>
    </row>
    <row r="73" spans="2:11" x14ac:dyDescent="0.25">
      <c r="B73" s="194" t="s">
        <v>125</v>
      </c>
      <c r="C73" s="195">
        <v>258</v>
      </c>
      <c r="D73" s="195">
        <v>658</v>
      </c>
      <c r="E73" s="195">
        <v>1360</v>
      </c>
      <c r="F73" s="195">
        <v>2515</v>
      </c>
      <c r="G73" s="195">
        <v>3267</v>
      </c>
      <c r="H73" s="195">
        <v>1879</v>
      </c>
      <c r="I73" s="212">
        <f t="shared" si="32"/>
        <v>-0.42485460667278852</v>
      </c>
      <c r="J73" s="194">
        <f t="shared" si="31"/>
        <v>-1388</v>
      </c>
      <c r="K73" s="196">
        <f t="shared" si="30"/>
        <v>6.0044398982408813E-4</v>
      </c>
    </row>
    <row r="74" spans="2:11" x14ac:dyDescent="0.25">
      <c r="B74" s="194" t="s">
        <v>121</v>
      </c>
      <c r="C74" s="195">
        <v>729</v>
      </c>
      <c r="D74" s="195">
        <v>763</v>
      </c>
      <c r="E74" s="195">
        <v>2196</v>
      </c>
      <c r="F74" s="195">
        <v>1917</v>
      </c>
      <c r="G74" s="195">
        <v>2865</v>
      </c>
      <c r="H74" s="195">
        <v>2069</v>
      </c>
      <c r="I74" s="212">
        <f t="shared" si="32"/>
        <v>-0.27783595113438042</v>
      </c>
      <c r="J74" s="194">
        <f t="shared" si="31"/>
        <v>-796</v>
      </c>
      <c r="K74" s="196">
        <f t="shared" si="30"/>
        <v>6.6115945446835458E-4</v>
      </c>
    </row>
    <row r="75" spans="2:11" x14ac:dyDescent="0.25">
      <c r="B75" s="194" t="s">
        <v>130</v>
      </c>
      <c r="C75" s="195">
        <v>634</v>
      </c>
      <c r="D75" s="195">
        <v>22</v>
      </c>
      <c r="E75" s="195">
        <v>897</v>
      </c>
      <c r="F75" s="195">
        <v>3209</v>
      </c>
      <c r="G75" s="195">
        <v>1645</v>
      </c>
      <c r="H75" s="195">
        <v>844</v>
      </c>
      <c r="I75" s="212">
        <f t="shared" si="32"/>
        <v>-0.48693009118541031</v>
      </c>
      <c r="J75" s="194">
        <f t="shared" si="31"/>
        <v>-801</v>
      </c>
      <c r="K75" s="196">
        <f t="shared" si="30"/>
        <v>2.6970448505137326E-4</v>
      </c>
    </row>
    <row r="76" spans="2:11" x14ac:dyDescent="0.25">
      <c r="B76" s="194" t="s">
        <v>133</v>
      </c>
      <c r="C76" s="195">
        <v>781</v>
      </c>
      <c r="D76" s="195">
        <v>7</v>
      </c>
      <c r="E76" s="195">
        <v>291</v>
      </c>
      <c r="F76" s="195">
        <v>930</v>
      </c>
      <c r="G76" s="195">
        <v>205</v>
      </c>
      <c r="H76" s="195">
        <v>552</v>
      </c>
      <c r="I76" s="212">
        <f t="shared" si="32"/>
        <v>1.6926829268292685</v>
      </c>
      <c r="J76" s="194">
        <f t="shared" si="31"/>
        <v>347</v>
      </c>
      <c r="K76" s="196">
        <f t="shared" si="30"/>
        <v>1.7639440254544792E-4</v>
      </c>
    </row>
    <row r="77" spans="2:11" x14ac:dyDescent="0.25">
      <c r="B77" s="199" t="s">
        <v>147</v>
      </c>
      <c r="C77" s="200">
        <f t="shared" ref="C77" si="33">C69-SUM(C70:C76)</f>
        <v>4636</v>
      </c>
      <c r="D77" s="200">
        <f t="shared" ref="D77:H77" si="34">D69-SUM(D70:D76)</f>
        <v>5620</v>
      </c>
      <c r="E77" s="200">
        <f t="shared" si="34"/>
        <v>21848</v>
      </c>
      <c r="F77" s="200">
        <f t="shared" si="34"/>
        <v>32028</v>
      </c>
      <c r="G77" s="200">
        <f t="shared" si="34"/>
        <v>36605</v>
      </c>
      <c r="H77" s="200">
        <f t="shared" si="34"/>
        <v>25899</v>
      </c>
      <c r="I77" s="213">
        <f t="shared" si="32"/>
        <v>-0.29247370577789922</v>
      </c>
      <c r="J77" s="199">
        <f>H77-G77</f>
        <v>-10706</v>
      </c>
      <c r="K77" s="201">
        <f t="shared" si="30"/>
        <v>8.2761569411676731E-3</v>
      </c>
    </row>
    <row r="78" spans="2:11" x14ac:dyDescent="0.25">
      <c r="B78" s="186" t="s">
        <v>50</v>
      </c>
      <c r="C78" s="184"/>
      <c r="D78" s="184"/>
      <c r="E78" s="184"/>
      <c r="F78" s="184"/>
      <c r="G78" s="184"/>
      <c r="H78" s="184"/>
      <c r="I78" s="185"/>
      <c r="J78" s="185"/>
      <c r="K78" s="184"/>
    </row>
    <row r="79" spans="2:11" x14ac:dyDescent="0.25">
      <c r="B79" s="187" t="s">
        <v>70</v>
      </c>
      <c r="C79" s="209">
        <f t="shared" ref="C79:H79" si="35">C80+C83</f>
        <v>147476</v>
      </c>
      <c r="D79" s="209">
        <f t="shared" si="35"/>
        <v>167563</v>
      </c>
      <c r="E79" s="209">
        <f t="shared" si="35"/>
        <v>423670</v>
      </c>
      <c r="F79" s="209">
        <f t="shared" si="35"/>
        <v>487148</v>
      </c>
      <c r="G79" s="209">
        <f t="shared" si="35"/>
        <v>557192</v>
      </c>
      <c r="H79" s="209">
        <f t="shared" si="35"/>
        <v>564085</v>
      </c>
      <c r="I79" s="210">
        <f>IFERROR(H79/G79-1,"-")</f>
        <v>1.2370960099929551E-2</v>
      </c>
      <c r="J79" s="209">
        <f>H79-G79</f>
        <v>6893</v>
      </c>
      <c r="K79" s="210">
        <f t="shared" ref="K79:K91" si="36">H79/H$9</f>
        <v>0.18025622565190036</v>
      </c>
    </row>
    <row r="80" spans="2:11" x14ac:dyDescent="0.25">
      <c r="B80" s="190" t="s">
        <v>99</v>
      </c>
      <c r="C80" s="191">
        <v>63362</v>
      </c>
      <c r="D80" s="191">
        <v>101525</v>
      </c>
      <c r="E80" s="191">
        <v>217516</v>
      </c>
      <c r="F80" s="191">
        <v>224955</v>
      </c>
      <c r="G80" s="191">
        <v>237197</v>
      </c>
      <c r="H80" s="191">
        <v>245836</v>
      </c>
      <c r="I80" s="211">
        <f>IFERROR(H80/G80-1,"-")</f>
        <v>3.6421202629038252E-2</v>
      </c>
      <c r="J80" s="190">
        <f t="shared" ref="J80:J90" si="37">H80-G80</f>
        <v>8639</v>
      </c>
      <c r="K80" s="192">
        <f t="shared" si="36"/>
        <v>7.8558141927831046E-2</v>
      </c>
    </row>
    <row r="81" spans="2:11" x14ac:dyDescent="0.25">
      <c r="B81" s="194" t="s">
        <v>105</v>
      </c>
      <c r="C81" s="195">
        <v>12845</v>
      </c>
      <c r="D81" s="195">
        <v>33041</v>
      </c>
      <c r="E81" s="195">
        <v>52132</v>
      </c>
      <c r="F81" s="195">
        <v>48829</v>
      </c>
      <c r="G81" s="195">
        <v>58314</v>
      </c>
      <c r="H81" s="195">
        <v>55903</v>
      </c>
      <c r="I81" s="212">
        <f>IFERROR(H81/G81-1,"-")</f>
        <v>-4.1345131529306856E-2</v>
      </c>
      <c r="J81" s="194">
        <f t="shared" si="37"/>
        <v>-2411</v>
      </c>
      <c r="K81" s="196">
        <f t="shared" si="36"/>
        <v>1.7864087473728578E-2</v>
      </c>
    </row>
    <row r="82" spans="2:11" x14ac:dyDescent="0.25">
      <c r="B82" s="194" t="s">
        <v>102</v>
      </c>
      <c r="C82" s="195">
        <v>50517</v>
      </c>
      <c r="D82" s="195">
        <v>68484</v>
      </c>
      <c r="E82" s="195">
        <v>165384</v>
      </c>
      <c r="F82" s="195">
        <v>176126</v>
      </c>
      <c r="G82" s="195">
        <v>178883</v>
      </c>
      <c r="H82" s="195">
        <v>189933</v>
      </c>
      <c r="I82" s="212">
        <f>IFERROR(H82/G82-1,"-")</f>
        <v>6.1772219830839248E-2</v>
      </c>
      <c r="J82" s="194">
        <f t="shared" si="37"/>
        <v>11050</v>
      </c>
      <c r="K82" s="196">
        <f t="shared" si="36"/>
        <v>6.0694054454102461E-2</v>
      </c>
    </row>
    <row r="83" spans="2:11" x14ac:dyDescent="0.25">
      <c r="B83" s="190" t="s">
        <v>109</v>
      </c>
      <c r="C83" s="191">
        <v>84114</v>
      </c>
      <c r="D83" s="191">
        <v>66038</v>
      </c>
      <c r="E83" s="191">
        <v>206154</v>
      </c>
      <c r="F83" s="191">
        <v>262193</v>
      </c>
      <c r="G83" s="191">
        <v>319995</v>
      </c>
      <c r="H83" s="191">
        <v>318249</v>
      </c>
      <c r="I83" s="211">
        <f>IFERROR(H83/G83-1,"-")</f>
        <v>-5.4563352552383648E-3</v>
      </c>
      <c r="J83" s="190">
        <f t="shared" si="37"/>
        <v>-1746</v>
      </c>
      <c r="K83" s="192">
        <f t="shared" si="36"/>
        <v>0.1016980837240693</v>
      </c>
    </row>
    <row r="84" spans="2:11" x14ac:dyDescent="0.25">
      <c r="B84" s="194" t="s">
        <v>112</v>
      </c>
      <c r="C84" s="195">
        <v>16144</v>
      </c>
      <c r="D84" s="195">
        <v>5472</v>
      </c>
      <c r="E84" s="195">
        <v>44073</v>
      </c>
      <c r="F84" s="195">
        <v>58110</v>
      </c>
      <c r="G84" s="195">
        <v>70739</v>
      </c>
      <c r="H84" s="195">
        <v>75834</v>
      </c>
      <c r="I84" s="212">
        <f t="shared" ref="I84:I91" si="38">IFERROR(H84/G84-1,"-")</f>
        <v>7.2025332560539557E-2</v>
      </c>
      <c r="J84" s="194">
        <f t="shared" si="37"/>
        <v>5095</v>
      </c>
      <c r="K84" s="196">
        <f t="shared" si="36"/>
        <v>2.4233139714912134E-2</v>
      </c>
    </row>
    <row r="85" spans="2:11" x14ac:dyDescent="0.25">
      <c r="B85" s="194" t="s">
        <v>115</v>
      </c>
      <c r="C85" s="195">
        <v>30159</v>
      </c>
      <c r="D85" s="195">
        <v>17067</v>
      </c>
      <c r="E85" s="195">
        <v>66273</v>
      </c>
      <c r="F85" s="195">
        <v>77508</v>
      </c>
      <c r="G85" s="195">
        <v>86026</v>
      </c>
      <c r="H85" s="195">
        <v>84091</v>
      </c>
      <c r="I85" s="212">
        <f t="shared" si="38"/>
        <v>-2.2493199730314051E-2</v>
      </c>
      <c r="J85" s="194">
        <f t="shared" si="37"/>
        <v>-1935</v>
      </c>
      <c r="K85" s="196">
        <f t="shared" si="36"/>
        <v>2.6871705986321125E-2</v>
      </c>
    </row>
    <row r="86" spans="2:11" x14ac:dyDescent="0.25">
      <c r="B86" s="194" t="s">
        <v>118</v>
      </c>
      <c r="C86" s="195">
        <v>5720</v>
      </c>
      <c r="D86" s="195">
        <v>9816</v>
      </c>
      <c r="E86" s="195">
        <v>18921</v>
      </c>
      <c r="F86" s="195">
        <v>26888</v>
      </c>
      <c r="G86" s="195">
        <v>39888</v>
      </c>
      <c r="H86" s="195">
        <v>35942</v>
      </c>
      <c r="I86" s="212">
        <f t="shared" si="38"/>
        <v>-9.8926995587645394E-2</v>
      </c>
      <c r="J86" s="194">
        <f t="shared" si="37"/>
        <v>-3946</v>
      </c>
      <c r="K86" s="196">
        <f t="shared" si="36"/>
        <v>1.148544858023277E-2</v>
      </c>
    </row>
    <row r="87" spans="2:11" x14ac:dyDescent="0.25">
      <c r="B87" s="194" t="s">
        <v>125</v>
      </c>
      <c r="C87" s="195">
        <v>1339</v>
      </c>
      <c r="D87" s="195">
        <v>1773</v>
      </c>
      <c r="E87" s="195">
        <v>3967</v>
      </c>
      <c r="F87" s="195">
        <v>5102</v>
      </c>
      <c r="G87" s="195">
        <v>9067</v>
      </c>
      <c r="H87" s="195">
        <v>9351</v>
      </c>
      <c r="I87" s="212">
        <f t="shared" si="38"/>
        <v>3.1322377853755468E-2</v>
      </c>
      <c r="J87" s="194">
        <f t="shared" si="37"/>
        <v>284</v>
      </c>
      <c r="K87" s="196">
        <f t="shared" si="36"/>
        <v>2.9881595257291367E-3</v>
      </c>
    </row>
    <row r="88" spans="2:11" x14ac:dyDescent="0.25">
      <c r="B88" s="194" t="s">
        <v>121</v>
      </c>
      <c r="C88" s="195">
        <v>1599</v>
      </c>
      <c r="D88" s="195">
        <v>2230</v>
      </c>
      <c r="E88" s="195">
        <v>3647</v>
      </c>
      <c r="F88" s="195">
        <v>4571</v>
      </c>
      <c r="G88" s="195">
        <v>5773</v>
      </c>
      <c r="H88" s="195">
        <v>6038</v>
      </c>
      <c r="I88" s="212">
        <f t="shared" si="38"/>
        <v>4.5903343149142461E-2</v>
      </c>
      <c r="J88" s="194">
        <f t="shared" si="37"/>
        <v>265</v>
      </c>
      <c r="K88" s="196">
        <f t="shared" si="36"/>
        <v>1.9294735553793741E-3</v>
      </c>
    </row>
    <row r="89" spans="2:11" x14ac:dyDescent="0.25">
      <c r="B89" s="194" t="s">
        <v>130</v>
      </c>
      <c r="C89" s="195">
        <v>1697</v>
      </c>
      <c r="D89" s="195">
        <v>207</v>
      </c>
      <c r="E89" s="195">
        <v>1992</v>
      </c>
      <c r="F89" s="195">
        <v>2564</v>
      </c>
      <c r="G89" s="195">
        <v>2547</v>
      </c>
      <c r="H89" s="195">
        <v>2613</v>
      </c>
      <c r="I89" s="212">
        <f t="shared" si="38"/>
        <v>2.5912838633686652E-2</v>
      </c>
      <c r="J89" s="194">
        <f t="shared" si="37"/>
        <v>66</v>
      </c>
      <c r="K89" s="196">
        <f t="shared" si="36"/>
        <v>8.3499741639720185E-4</v>
      </c>
    </row>
    <row r="90" spans="2:11" x14ac:dyDescent="0.25">
      <c r="B90" s="194" t="s">
        <v>133</v>
      </c>
      <c r="C90" s="195">
        <v>2284</v>
      </c>
      <c r="D90" s="195">
        <v>286</v>
      </c>
      <c r="E90" s="195">
        <v>1771</v>
      </c>
      <c r="F90" s="195">
        <v>2587</v>
      </c>
      <c r="G90" s="195">
        <v>3118</v>
      </c>
      <c r="H90" s="195">
        <v>2178</v>
      </c>
      <c r="I90" s="212">
        <f t="shared" si="38"/>
        <v>-0.30147530468248873</v>
      </c>
      <c r="J90" s="194">
        <f t="shared" si="37"/>
        <v>-940</v>
      </c>
      <c r="K90" s="196">
        <f t="shared" si="36"/>
        <v>6.9599095786953907E-4</v>
      </c>
    </row>
    <row r="91" spans="2:11" x14ac:dyDescent="0.25">
      <c r="B91" s="199" t="s">
        <v>147</v>
      </c>
      <c r="C91" s="200">
        <f t="shared" ref="C91" si="39">C83-SUM(C84:C90)</f>
        <v>25172</v>
      </c>
      <c r="D91" s="200">
        <f t="shared" ref="D91:H91" si="40">D83-SUM(D84:D90)</f>
        <v>29187</v>
      </c>
      <c r="E91" s="200">
        <f t="shared" si="40"/>
        <v>65510</v>
      </c>
      <c r="F91" s="200">
        <f t="shared" si="40"/>
        <v>84863</v>
      </c>
      <c r="G91" s="200">
        <f t="shared" si="40"/>
        <v>102837</v>
      </c>
      <c r="H91" s="200">
        <f t="shared" si="40"/>
        <v>102202</v>
      </c>
      <c r="I91" s="213">
        <f t="shared" si="38"/>
        <v>-6.1748203467623108E-3</v>
      </c>
      <c r="J91" s="199">
        <f>H91-G91</f>
        <v>-635</v>
      </c>
      <c r="K91" s="201">
        <f t="shared" si="36"/>
        <v>3.2659167987228024E-2</v>
      </c>
    </row>
    <row r="92" spans="2:11" x14ac:dyDescent="0.25">
      <c r="B92" s="186" t="s">
        <v>51</v>
      </c>
      <c r="C92" s="184"/>
      <c r="D92" s="184"/>
      <c r="E92" s="184"/>
      <c r="F92" s="184"/>
      <c r="G92" s="184"/>
      <c r="H92" s="184"/>
      <c r="I92" s="185"/>
      <c r="J92" s="185"/>
      <c r="K92" s="184"/>
    </row>
    <row r="93" spans="2:11" x14ac:dyDescent="0.25">
      <c r="B93" s="187" t="s">
        <v>70</v>
      </c>
      <c r="C93" s="209">
        <f t="shared" ref="C93:H93" si="41">C94+C97</f>
        <v>17295</v>
      </c>
      <c r="D93" s="209">
        <f t="shared" si="41"/>
        <v>21073</v>
      </c>
      <c r="E93" s="209">
        <f t="shared" si="41"/>
        <v>37456</v>
      </c>
      <c r="F93" s="209">
        <f t="shared" si="41"/>
        <v>44189</v>
      </c>
      <c r="G93" s="209">
        <f t="shared" si="41"/>
        <v>41777</v>
      </c>
      <c r="H93" s="209">
        <f t="shared" si="41"/>
        <v>40413</v>
      </c>
      <c r="I93" s="210">
        <f>IFERROR(H93/G93-1,"-")</f>
        <v>-3.2649544007468223E-2</v>
      </c>
      <c r="J93" s="209">
        <f>H93-G93</f>
        <v>-1364</v>
      </c>
      <c r="K93" s="210">
        <f t="shared" ref="K93:K105" si="42">H93/H$9</f>
        <v>1.2914179329835483E-2</v>
      </c>
    </row>
    <row r="94" spans="2:11" x14ac:dyDescent="0.25">
      <c r="B94" s="190" t="s">
        <v>99</v>
      </c>
      <c r="C94" s="191">
        <v>11031</v>
      </c>
      <c r="D94" s="191">
        <v>13958</v>
      </c>
      <c r="E94" s="191">
        <v>24786</v>
      </c>
      <c r="F94" s="191">
        <v>29860</v>
      </c>
      <c r="G94" s="191">
        <v>26153</v>
      </c>
      <c r="H94" s="191">
        <v>25265</v>
      </c>
      <c r="I94" s="211">
        <f>IFERROR(H94/G94-1,"-")</f>
        <v>-3.3954039689519377E-2</v>
      </c>
      <c r="J94" s="190">
        <f t="shared" ref="J94:J104" si="43">H94-G94</f>
        <v>-888</v>
      </c>
      <c r="K94" s="192">
        <f t="shared" si="42"/>
        <v>8.0735590223020692E-3</v>
      </c>
    </row>
    <row r="95" spans="2:11" x14ac:dyDescent="0.25">
      <c r="B95" s="194" t="s">
        <v>105</v>
      </c>
      <c r="C95" s="195">
        <v>5930</v>
      </c>
      <c r="D95" s="195">
        <v>7014</v>
      </c>
      <c r="E95" s="195">
        <v>11891</v>
      </c>
      <c r="F95" s="195">
        <v>9535</v>
      </c>
      <c r="G95" s="195">
        <v>8202</v>
      </c>
      <c r="H95" s="195">
        <v>8889</v>
      </c>
      <c r="I95" s="212">
        <f>IFERROR(H95/G95-1,"-")</f>
        <v>8.376005852231172E-2</v>
      </c>
      <c r="J95" s="194">
        <f t="shared" si="43"/>
        <v>687</v>
      </c>
      <c r="K95" s="196">
        <f t="shared" si="42"/>
        <v>2.8405250801204467E-3</v>
      </c>
    </row>
    <row r="96" spans="2:11" x14ac:dyDescent="0.25">
      <c r="B96" s="194" t="s">
        <v>102</v>
      </c>
      <c r="C96" s="195">
        <v>5101</v>
      </c>
      <c r="D96" s="195">
        <v>6944</v>
      </c>
      <c r="E96" s="195">
        <v>12895</v>
      </c>
      <c r="F96" s="195">
        <v>20325</v>
      </c>
      <c r="G96" s="195">
        <v>17951</v>
      </c>
      <c r="H96" s="195">
        <v>16376</v>
      </c>
      <c r="I96" s="212">
        <f>IFERROR(H96/G96-1,"-")</f>
        <v>-8.7738844632610946E-2</v>
      </c>
      <c r="J96" s="194">
        <f t="shared" si="43"/>
        <v>-1575</v>
      </c>
      <c r="K96" s="196">
        <f t="shared" si="42"/>
        <v>5.2330339421816216E-3</v>
      </c>
    </row>
    <row r="97" spans="2:11" x14ac:dyDescent="0.25">
      <c r="B97" s="190" t="s">
        <v>109</v>
      </c>
      <c r="C97" s="191">
        <v>6264</v>
      </c>
      <c r="D97" s="191">
        <v>7115</v>
      </c>
      <c r="E97" s="191">
        <v>12670</v>
      </c>
      <c r="F97" s="191">
        <v>14329</v>
      </c>
      <c r="G97" s="191">
        <v>15624</v>
      </c>
      <c r="H97" s="191">
        <v>15148</v>
      </c>
      <c r="I97" s="211">
        <f>IFERROR(H97/G97-1,"-")</f>
        <v>-3.046594982078854E-2</v>
      </c>
      <c r="J97" s="190">
        <f t="shared" si="43"/>
        <v>-476</v>
      </c>
      <c r="K97" s="192">
        <f t="shared" si="42"/>
        <v>4.8406203075334149E-3</v>
      </c>
    </row>
    <row r="98" spans="2:11" x14ac:dyDescent="0.25">
      <c r="B98" s="194" t="s">
        <v>112</v>
      </c>
      <c r="C98" s="195">
        <v>1042</v>
      </c>
      <c r="D98" s="195">
        <v>346</v>
      </c>
      <c r="E98" s="195">
        <v>1661</v>
      </c>
      <c r="F98" s="195">
        <v>2018</v>
      </c>
      <c r="G98" s="195">
        <v>2246</v>
      </c>
      <c r="H98" s="195">
        <v>1878</v>
      </c>
      <c r="I98" s="212">
        <f t="shared" ref="I98:I105" si="44">IFERROR(H98/G98-1,"-")</f>
        <v>-0.16384683882457707</v>
      </c>
      <c r="J98" s="194">
        <f t="shared" si="43"/>
        <v>-368</v>
      </c>
      <c r="K98" s="196">
        <f t="shared" si="42"/>
        <v>6.0012443474701308E-4</v>
      </c>
    </row>
    <row r="99" spans="2:11" x14ac:dyDescent="0.25">
      <c r="B99" s="194" t="s">
        <v>115</v>
      </c>
      <c r="C99" s="195">
        <v>1199</v>
      </c>
      <c r="D99" s="195">
        <v>1176</v>
      </c>
      <c r="E99" s="195">
        <v>2396</v>
      </c>
      <c r="F99" s="195">
        <v>2589</v>
      </c>
      <c r="G99" s="195">
        <v>3010</v>
      </c>
      <c r="H99" s="195">
        <v>2671</v>
      </c>
      <c r="I99" s="212">
        <f t="shared" si="44"/>
        <v>-0.11262458471760795</v>
      </c>
      <c r="J99" s="194">
        <f t="shared" si="43"/>
        <v>-339</v>
      </c>
      <c r="K99" s="196">
        <f t="shared" si="42"/>
        <v>8.5353161086755688E-4</v>
      </c>
    </row>
    <row r="100" spans="2:11" x14ac:dyDescent="0.25">
      <c r="B100" s="194" t="s">
        <v>118</v>
      </c>
      <c r="C100" s="195">
        <v>1494</v>
      </c>
      <c r="D100" s="195">
        <v>2663</v>
      </c>
      <c r="E100" s="195">
        <v>2543</v>
      </c>
      <c r="F100" s="195">
        <v>2839</v>
      </c>
      <c r="G100" s="195">
        <v>2752</v>
      </c>
      <c r="H100" s="195">
        <v>2727</v>
      </c>
      <c r="I100" s="212">
        <f t="shared" si="44"/>
        <v>-9.0843023255814392E-3</v>
      </c>
      <c r="J100" s="194">
        <f t="shared" si="43"/>
        <v>-25</v>
      </c>
      <c r="K100" s="196">
        <f t="shared" si="42"/>
        <v>8.714266951837617E-4</v>
      </c>
    </row>
    <row r="101" spans="2:11" x14ac:dyDescent="0.25">
      <c r="B101" s="194" t="s">
        <v>125</v>
      </c>
      <c r="C101" s="195">
        <v>280</v>
      </c>
      <c r="D101" s="195">
        <v>162</v>
      </c>
      <c r="E101" s="195">
        <v>886</v>
      </c>
      <c r="F101" s="195">
        <v>646</v>
      </c>
      <c r="G101" s="195">
        <v>701</v>
      </c>
      <c r="H101" s="195">
        <v>667</v>
      </c>
      <c r="I101" s="212">
        <f t="shared" si="44"/>
        <v>-4.8502139800285282E-2</v>
      </c>
      <c r="J101" s="194">
        <f t="shared" si="43"/>
        <v>-34</v>
      </c>
      <c r="K101" s="196">
        <f t="shared" si="42"/>
        <v>2.131432364090829E-4</v>
      </c>
    </row>
    <row r="102" spans="2:11" x14ac:dyDescent="0.25">
      <c r="B102" s="194" t="s">
        <v>121</v>
      </c>
      <c r="C102" s="195">
        <v>217</v>
      </c>
      <c r="D102" s="195">
        <v>272</v>
      </c>
      <c r="E102" s="195">
        <v>523</v>
      </c>
      <c r="F102" s="195">
        <v>426</v>
      </c>
      <c r="G102" s="195">
        <v>639</v>
      </c>
      <c r="H102" s="195">
        <v>604</v>
      </c>
      <c r="I102" s="212">
        <f t="shared" si="44"/>
        <v>-5.477308294209704E-2</v>
      </c>
      <c r="J102" s="194">
        <f t="shared" si="43"/>
        <v>-35</v>
      </c>
      <c r="K102" s="196">
        <f t="shared" si="42"/>
        <v>1.9301126655335243E-4</v>
      </c>
    </row>
    <row r="103" spans="2:11" x14ac:dyDescent="0.25">
      <c r="B103" s="194" t="s">
        <v>130</v>
      </c>
      <c r="C103" s="195">
        <v>114</v>
      </c>
      <c r="D103" s="195">
        <v>20</v>
      </c>
      <c r="E103" s="195">
        <v>222</v>
      </c>
      <c r="F103" s="195">
        <v>106</v>
      </c>
      <c r="G103" s="195">
        <v>178</v>
      </c>
      <c r="H103" s="195">
        <v>157</v>
      </c>
      <c r="I103" s="212">
        <f t="shared" si="44"/>
        <v>-0.1179775280898876</v>
      </c>
      <c r="J103" s="194">
        <f t="shared" si="43"/>
        <v>-21</v>
      </c>
      <c r="K103" s="196">
        <f t="shared" si="42"/>
        <v>5.0170147100788631E-5</v>
      </c>
    </row>
    <row r="104" spans="2:11" x14ac:dyDescent="0.25">
      <c r="B104" s="194" t="s">
        <v>133</v>
      </c>
      <c r="C104" s="195">
        <v>66</v>
      </c>
      <c r="D104" s="195">
        <v>63</v>
      </c>
      <c r="E104" s="195">
        <v>114</v>
      </c>
      <c r="F104" s="195">
        <v>190</v>
      </c>
      <c r="G104" s="195">
        <v>282</v>
      </c>
      <c r="H104" s="195">
        <v>159</v>
      </c>
      <c r="I104" s="212">
        <f t="shared" si="44"/>
        <v>-0.43617021276595747</v>
      </c>
      <c r="J104" s="194">
        <f t="shared" si="43"/>
        <v>-123</v>
      </c>
      <c r="K104" s="196">
        <f t="shared" si="42"/>
        <v>5.0809257254938801E-5</v>
      </c>
    </row>
    <row r="105" spans="2:11" x14ac:dyDescent="0.25">
      <c r="B105" s="199" t="s">
        <v>147</v>
      </c>
      <c r="C105" s="200">
        <f t="shared" ref="C105" si="45">C97-SUM(C98:C104)</f>
        <v>1852</v>
      </c>
      <c r="D105" s="200">
        <f t="shared" ref="D105:H105" si="46">D97-SUM(D98:D104)</f>
        <v>2413</v>
      </c>
      <c r="E105" s="200">
        <f t="shared" si="46"/>
        <v>4325</v>
      </c>
      <c r="F105" s="200">
        <f t="shared" si="46"/>
        <v>5515</v>
      </c>
      <c r="G105" s="200">
        <f t="shared" si="46"/>
        <v>5816</v>
      </c>
      <c r="H105" s="200">
        <f t="shared" si="46"/>
        <v>6285</v>
      </c>
      <c r="I105" s="213">
        <f t="shared" si="44"/>
        <v>8.0639614855570807E-2</v>
      </c>
      <c r="J105" s="199">
        <f>H105-G105</f>
        <v>469</v>
      </c>
      <c r="K105" s="201">
        <f t="shared" si="42"/>
        <v>2.0084036594169206E-3</v>
      </c>
    </row>
    <row r="106" spans="2:11" x14ac:dyDescent="0.25">
      <c r="B106" s="186" t="s">
        <v>52</v>
      </c>
      <c r="C106" s="184"/>
      <c r="D106" s="184"/>
      <c r="E106" s="184"/>
      <c r="F106" s="184"/>
      <c r="G106" s="184"/>
      <c r="H106" s="184"/>
      <c r="I106" s="185"/>
      <c r="J106" s="185"/>
      <c r="K106" s="184"/>
    </row>
    <row r="107" spans="2:11" x14ac:dyDescent="0.25">
      <c r="B107" s="187" t="s">
        <v>70</v>
      </c>
      <c r="C107" s="209">
        <f t="shared" ref="C107:H107" si="47">C108+C111</f>
        <v>45963</v>
      </c>
      <c r="D107" s="209">
        <f t="shared" si="47"/>
        <v>62554</v>
      </c>
      <c r="E107" s="209">
        <f t="shared" si="47"/>
        <v>124607</v>
      </c>
      <c r="F107" s="209">
        <f t="shared" si="47"/>
        <v>163429</v>
      </c>
      <c r="G107" s="209">
        <f t="shared" si="47"/>
        <v>157299</v>
      </c>
      <c r="H107" s="209">
        <f t="shared" si="47"/>
        <v>166857</v>
      </c>
      <c r="I107" s="210">
        <f>IFERROR(H107/G107-1,"-")</f>
        <v>6.0763259779146761E-2</v>
      </c>
      <c r="J107" s="209">
        <f>H107-G107</f>
        <v>9558</v>
      </c>
      <c r="K107" s="210">
        <f t="shared" ref="K107:K119" si="48">H107/H$9</f>
        <v>5.3320001495517758E-2</v>
      </c>
    </row>
    <row r="108" spans="2:11" x14ac:dyDescent="0.25">
      <c r="B108" s="190" t="s">
        <v>99</v>
      </c>
      <c r="C108" s="191">
        <v>22313</v>
      </c>
      <c r="D108" s="191">
        <v>33144</v>
      </c>
      <c r="E108" s="191">
        <v>31290</v>
      </c>
      <c r="F108" s="191">
        <v>37406</v>
      </c>
      <c r="G108" s="191">
        <v>35367</v>
      </c>
      <c r="H108" s="191">
        <v>38381</v>
      </c>
      <c r="I108" s="211">
        <f>IFERROR(H108/G108-1,"-")</f>
        <v>8.522068595017962E-2</v>
      </c>
      <c r="J108" s="190">
        <f t="shared" ref="J108:J118" si="49">H108-G108</f>
        <v>3014</v>
      </c>
      <c r="K108" s="192">
        <f t="shared" si="48"/>
        <v>1.2264843413218906E-2</v>
      </c>
    </row>
    <row r="109" spans="2:11" x14ac:dyDescent="0.25">
      <c r="B109" s="194" t="s">
        <v>105</v>
      </c>
      <c r="C109" s="195">
        <v>606</v>
      </c>
      <c r="D109" s="195">
        <v>17889</v>
      </c>
      <c r="E109" s="195">
        <v>8698</v>
      </c>
      <c r="F109" s="195">
        <v>12435</v>
      </c>
      <c r="G109" s="195">
        <v>10145</v>
      </c>
      <c r="H109" s="195">
        <v>13375</v>
      </c>
      <c r="I109" s="212">
        <f>IFERROR(H109/G109-1,"-")</f>
        <v>0.31838344011828479</v>
      </c>
      <c r="J109" s="194">
        <f t="shared" si="49"/>
        <v>3230</v>
      </c>
      <c r="K109" s="196">
        <f t="shared" si="48"/>
        <v>4.2740491558792863E-3</v>
      </c>
    </row>
    <row r="110" spans="2:11" x14ac:dyDescent="0.25">
      <c r="B110" s="194" t="s">
        <v>102</v>
      </c>
      <c r="C110" s="195">
        <v>21707</v>
      </c>
      <c r="D110" s="195">
        <v>15255</v>
      </c>
      <c r="E110" s="195">
        <v>22592</v>
      </c>
      <c r="F110" s="195">
        <v>24971</v>
      </c>
      <c r="G110" s="195">
        <v>25222</v>
      </c>
      <c r="H110" s="195">
        <v>25006</v>
      </c>
      <c r="I110" s="212">
        <f>IFERROR(H110/G110-1,"-")</f>
        <v>-8.5639521053049172E-3</v>
      </c>
      <c r="J110" s="194">
        <f t="shared" si="49"/>
        <v>-216</v>
      </c>
      <c r="K110" s="196">
        <f t="shared" si="48"/>
        <v>7.9907942573396208E-3</v>
      </c>
    </row>
    <row r="111" spans="2:11" x14ac:dyDescent="0.25">
      <c r="B111" s="190" t="s">
        <v>109</v>
      </c>
      <c r="C111" s="191">
        <v>23650</v>
      </c>
      <c r="D111" s="191">
        <v>29410</v>
      </c>
      <c r="E111" s="191">
        <v>93317</v>
      </c>
      <c r="F111" s="191">
        <v>126023</v>
      </c>
      <c r="G111" s="191">
        <v>121932</v>
      </c>
      <c r="H111" s="191">
        <v>128476</v>
      </c>
      <c r="I111" s="211">
        <f>IFERROR(H111/G111-1,"-")</f>
        <v>5.3669258275104159E-2</v>
      </c>
      <c r="J111" s="190">
        <f t="shared" si="49"/>
        <v>6544</v>
      </c>
      <c r="K111" s="192">
        <f t="shared" si="48"/>
        <v>4.1055158082298857E-2</v>
      </c>
    </row>
    <row r="112" spans="2:11" x14ac:dyDescent="0.25">
      <c r="B112" s="194" t="s">
        <v>112</v>
      </c>
      <c r="C112" s="195">
        <v>11536</v>
      </c>
      <c r="D112" s="195">
        <v>8851</v>
      </c>
      <c r="E112" s="195">
        <v>56042</v>
      </c>
      <c r="F112" s="195">
        <v>83042</v>
      </c>
      <c r="G112" s="195">
        <v>76715</v>
      </c>
      <c r="H112" s="195">
        <v>78574</v>
      </c>
      <c r="I112" s="212">
        <f t="shared" ref="I112:I119" si="50">IFERROR(H112/G112-1,"-")</f>
        <v>2.423254904516714E-2</v>
      </c>
      <c r="J112" s="194">
        <f t="shared" si="49"/>
        <v>1859</v>
      </c>
      <c r="K112" s="196">
        <f t="shared" si="48"/>
        <v>2.5108720626097873E-2</v>
      </c>
    </row>
    <row r="113" spans="2:11" x14ac:dyDescent="0.25">
      <c r="B113" s="194" t="s">
        <v>115</v>
      </c>
      <c r="C113" s="195">
        <v>1861</v>
      </c>
      <c r="D113" s="195">
        <v>4836</v>
      </c>
      <c r="E113" s="195">
        <v>4079</v>
      </c>
      <c r="F113" s="195">
        <v>5399</v>
      </c>
      <c r="G113" s="195">
        <v>5111</v>
      </c>
      <c r="H113" s="195">
        <v>5802</v>
      </c>
      <c r="I113" s="212">
        <f t="shared" si="50"/>
        <v>0.13519859127372325</v>
      </c>
      <c r="J113" s="194">
        <f t="shared" si="49"/>
        <v>691</v>
      </c>
      <c r="K113" s="196">
        <f t="shared" si="48"/>
        <v>1.8540585571896538E-3</v>
      </c>
    </row>
    <row r="114" spans="2:11" x14ac:dyDescent="0.25">
      <c r="B114" s="194" t="s">
        <v>118</v>
      </c>
      <c r="C114" s="195">
        <v>1351</v>
      </c>
      <c r="D114" s="195">
        <v>4386</v>
      </c>
      <c r="E114" s="195">
        <v>6231</v>
      </c>
      <c r="F114" s="195">
        <v>9908</v>
      </c>
      <c r="G114" s="195">
        <v>9298</v>
      </c>
      <c r="H114" s="195">
        <v>10733</v>
      </c>
      <c r="I114" s="212">
        <f t="shared" si="50"/>
        <v>0.15433426543342654</v>
      </c>
      <c r="J114" s="194">
        <f t="shared" si="49"/>
        <v>1435</v>
      </c>
      <c r="K114" s="196">
        <f t="shared" si="48"/>
        <v>3.4297846422469067E-3</v>
      </c>
    </row>
    <row r="115" spans="2:11" x14ac:dyDescent="0.25">
      <c r="B115" s="194" t="s">
        <v>125</v>
      </c>
      <c r="C115" s="195">
        <v>891</v>
      </c>
      <c r="D115" s="195">
        <v>2087</v>
      </c>
      <c r="E115" s="195">
        <v>4297</v>
      </c>
      <c r="F115" s="195">
        <v>3974</v>
      </c>
      <c r="G115" s="195">
        <v>4038</v>
      </c>
      <c r="H115" s="195">
        <v>4567</v>
      </c>
      <c r="I115" s="212">
        <f t="shared" si="50"/>
        <v>0.13100544824170379</v>
      </c>
      <c r="J115" s="194">
        <f t="shared" si="49"/>
        <v>529</v>
      </c>
      <c r="K115" s="196">
        <f t="shared" si="48"/>
        <v>1.4594080370019214E-3</v>
      </c>
    </row>
    <row r="116" spans="2:11" x14ac:dyDescent="0.25">
      <c r="B116" s="194" t="s">
        <v>121</v>
      </c>
      <c r="C116" s="195">
        <v>2271</v>
      </c>
      <c r="D116" s="195">
        <v>2579</v>
      </c>
      <c r="E116" s="195">
        <v>3452</v>
      </c>
      <c r="F116" s="195">
        <v>3657</v>
      </c>
      <c r="G116" s="195">
        <v>3285</v>
      </c>
      <c r="H116" s="195">
        <v>3298</v>
      </c>
      <c r="I116" s="212">
        <f t="shared" si="50"/>
        <v>3.9573820395737425E-3</v>
      </c>
      <c r="J116" s="194">
        <f t="shared" si="49"/>
        <v>13</v>
      </c>
      <c r="K116" s="196">
        <f t="shared" si="48"/>
        <v>1.0538926441936362E-3</v>
      </c>
    </row>
    <row r="117" spans="2:11" x14ac:dyDescent="0.25">
      <c r="B117" s="194" t="s">
        <v>130</v>
      </c>
      <c r="C117" s="195">
        <v>223</v>
      </c>
      <c r="D117" s="195">
        <v>48</v>
      </c>
      <c r="E117" s="195">
        <v>484</v>
      </c>
      <c r="F117" s="195">
        <v>797</v>
      </c>
      <c r="G117" s="195">
        <v>839</v>
      </c>
      <c r="H117" s="195">
        <v>820</v>
      </c>
      <c r="I117" s="212">
        <f t="shared" si="50"/>
        <v>-2.2646007151370662E-2</v>
      </c>
      <c r="J117" s="194">
        <f t="shared" si="49"/>
        <v>-19</v>
      </c>
      <c r="K117" s="196">
        <f t="shared" si="48"/>
        <v>2.6203516320157116E-4</v>
      </c>
    </row>
    <row r="118" spans="2:11" x14ac:dyDescent="0.25">
      <c r="B118" s="194" t="s">
        <v>133</v>
      </c>
      <c r="C118" s="195">
        <v>534</v>
      </c>
      <c r="D118" s="195">
        <v>32</v>
      </c>
      <c r="E118" s="195">
        <v>645</v>
      </c>
      <c r="F118" s="195">
        <v>414</v>
      </c>
      <c r="G118" s="195">
        <v>1046</v>
      </c>
      <c r="H118" s="195">
        <v>681</v>
      </c>
      <c r="I118" s="212">
        <f t="shared" si="50"/>
        <v>-0.34894837476099427</v>
      </c>
      <c r="J118" s="194">
        <f t="shared" si="49"/>
        <v>-365</v>
      </c>
      <c r="K118" s="196">
        <f t="shared" si="48"/>
        <v>2.1761700748813411E-4</v>
      </c>
    </row>
    <row r="119" spans="2:11" x14ac:dyDescent="0.25">
      <c r="B119" s="199" t="s">
        <v>147</v>
      </c>
      <c r="C119" s="200">
        <f t="shared" ref="C119" si="51">C111-SUM(C112:C118)</f>
        <v>4983</v>
      </c>
      <c r="D119" s="200">
        <f t="shared" ref="D119:H119" si="52">D111-SUM(D112:D118)</f>
        <v>6591</v>
      </c>
      <c r="E119" s="200">
        <f t="shared" si="52"/>
        <v>18087</v>
      </c>
      <c r="F119" s="200">
        <f t="shared" si="52"/>
        <v>18832</v>
      </c>
      <c r="G119" s="200">
        <f t="shared" si="52"/>
        <v>21600</v>
      </c>
      <c r="H119" s="200">
        <f t="shared" si="52"/>
        <v>24001</v>
      </c>
      <c r="I119" s="213">
        <f t="shared" si="50"/>
        <v>0.11115740740740732</v>
      </c>
      <c r="J119" s="199">
        <f>H119-G119</f>
        <v>2401</v>
      </c>
      <c r="K119" s="201">
        <f t="shared" si="48"/>
        <v>7.6696414048791585E-3</v>
      </c>
    </row>
    <row r="120" spans="2:11" x14ac:dyDescent="0.25">
      <c r="B120" s="186" t="s">
        <v>53</v>
      </c>
      <c r="C120" s="184"/>
      <c r="D120" s="184"/>
      <c r="E120" s="184"/>
      <c r="F120" s="184"/>
      <c r="G120" s="184"/>
      <c r="H120" s="184"/>
      <c r="I120" s="185"/>
      <c r="J120" s="185"/>
      <c r="K120" s="184"/>
    </row>
    <row r="121" spans="2:11" x14ac:dyDescent="0.25">
      <c r="B121" s="187" t="s">
        <v>70</v>
      </c>
      <c r="C121" s="209">
        <f t="shared" ref="C121:H121" si="53">C122+C125</f>
        <v>67052</v>
      </c>
      <c r="D121" s="209">
        <f t="shared" si="53"/>
        <v>103599</v>
      </c>
      <c r="E121" s="209">
        <f t="shared" si="53"/>
        <v>157983</v>
      </c>
      <c r="F121" s="209">
        <f t="shared" si="53"/>
        <v>174312</v>
      </c>
      <c r="G121" s="209">
        <f t="shared" si="53"/>
        <v>181820</v>
      </c>
      <c r="H121" s="209">
        <f t="shared" si="53"/>
        <v>203413</v>
      </c>
      <c r="I121" s="210">
        <f>IFERROR(H121/G121-1,"-")</f>
        <v>0.11876031239687612</v>
      </c>
      <c r="J121" s="209">
        <f>H121-G121</f>
        <v>21593</v>
      </c>
      <c r="K121" s="210">
        <f t="shared" ref="K121:K133" si="54">H121/H$9</f>
        <v>6.5001656893074633E-2</v>
      </c>
    </row>
    <row r="122" spans="2:11" x14ac:dyDescent="0.25">
      <c r="B122" s="190" t="s">
        <v>99</v>
      </c>
      <c r="C122" s="191">
        <v>36330</v>
      </c>
      <c r="D122" s="191">
        <v>68840</v>
      </c>
      <c r="E122" s="191">
        <v>97242</v>
      </c>
      <c r="F122" s="191">
        <v>108324</v>
      </c>
      <c r="G122" s="191">
        <v>115851</v>
      </c>
      <c r="H122" s="191">
        <v>132246</v>
      </c>
      <c r="I122" s="211">
        <f>IFERROR(H122/G122-1,"-")</f>
        <v>0.14151798430742946</v>
      </c>
      <c r="J122" s="190">
        <f t="shared" ref="J122:J132" si="55">H122-G122</f>
        <v>16395</v>
      </c>
      <c r="K122" s="192">
        <f t="shared" si="54"/>
        <v>4.2259880722871929E-2</v>
      </c>
    </row>
    <row r="123" spans="2:11" x14ac:dyDescent="0.25">
      <c r="B123" s="194" t="s">
        <v>105</v>
      </c>
      <c r="C123" s="195">
        <v>16691</v>
      </c>
      <c r="D123" s="195">
        <v>34948</v>
      </c>
      <c r="E123" s="195">
        <v>50706</v>
      </c>
      <c r="F123" s="195">
        <v>48815</v>
      </c>
      <c r="G123" s="195">
        <v>57435</v>
      </c>
      <c r="H123" s="195">
        <v>70232</v>
      </c>
      <c r="I123" s="212">
        <f>IFERROR(H123/G123-1,"-")</f>
        <v>0.22280839209541226</v>
      </c>
      <c r="J123" s="194">
        <f t="shared" si="55"/>
        <v>12797</v>
      </c>
      <c r="K123" s="196">
        <f t="shared" si="54"/>
        <v>2.2442992173137496E-2</v>
      </c>
    </row>
    <row r="124" spans="2:11" x14ac:dyDescent="0.25">
      <c r="B124" s="194" t="s">
        <v>102</v>
      </c>
      <c r="C124" s="195">
        <v>19639</v>
      </c>
      <c r="D124" s="195">
        <v>33892</v>
      </c>
      <c r="E124" s="195">
        <v>46536</v>
      </c>
      <c r="F124" s="195">
        <v>59509</v>
      </c>
      <c r="G124" s="195">
        <v>58416</v>
      </c>
      <c r="H124" s="195">
        <v>62014</v>
      </c>
      <c r="I124" s="212">
        <f>IFERROR(H124/G124-1,"-")</f>
        <v>6.1592714324842479E-2</v>
      </c>
      <c r="J124" s="194">
        <f t="shared" si="55"/>
        <v>3598</v>
      </c>
      <c r="K124" s="196">
        <f t="shared" si="54"/>
        <v>1.9816888549734433E-2</v>
      </c>
    </row>
    <row r="125" spans="2:11" x14ac:dyDescent="0.25">
      <c r="B125" s="190" t="s">
        <v>109</v>
      </c>
      <c r="C125" s="191">
        <v>30722</v>
      </c>
      <c r="D125" s="191">
        <v>34759</v>
      </c>
      <c r="E125" s="191">
        <v>60741</v>
      </c>
      <c r="F125" s="191">
        <v>65988</v>
      </c>
      <c r="G125" s="191">
        <v>65969</v>
      </c>
      <c r="H125" s="191">
        <v>71167</v>
      </c>
      <c r="I125" s="211">
        <f>IFERROR(H125/G125-1,"-")</f>
        <v>7.8794585335536294E-2</v>
      </c>
      <c r="J125" s="190">
        <f t="shared" si="55"/>
        <v>5198</v>
      </c>
      <c r="K125" s="192">
        <f t="shared" si="54"/>
        <v>2.2741776170202704E-2</v>
      </c>
    </row>
    <row r="126" spans="2:11" x14ac:dyDescent="0.25">
      <c r="B126" s="194" t="s">
        <v>112</v>
      </c>
      <c r="C126" s="195">
        <v>3019</v>
      </c>
      <c r="D126" s="195">
        <v>1336</v>
      </c>
      <c r="E126" s="195">
        <v>6689</v>
      </c>
      <c r="F126" s="195">
        <v>8681</v>
      </c>
      <c r="G126" s="195">
        <v>7798</v>
      </c>
      <c r="H126" s="195">
        <v>7350</v>
      </c>
      <c r="I126" s="212">
        <f t="shared" ref="I126:I133" si="56">IFERROR(H126/G126-1,"-")</f>
        <v>-5.7450628366247702E-2</v>
      </c>
      <c r="J126" s="194">
        <f t="shared" si="55"/>
        <v>-448</v>
      </c>
      <c r="K126" s="196">
        <f t="shared" si="54"/>
        <v>2.3487298165018882E-3</v>
      </c>
    </row>
    <row r="127" spans="2:11" x14ac:dyDescent="0.25">
      <c r="B127" s="194" t="s">
        <v>115</v>
      </c>
      <c r="C127" s="195">
        <v>3185</v>
      </c>
      <c r="D127" s="195">
        <v>3469</v>
      </c>
      <c r="E127" s="195">
        <v>6371</v>
      </c>
      <c r="F127" s="195">
        <v>9226</v>
      </c>
      <c r="G127" s="195">
        <v>8815</v>
      </c>
      <c r="H127" s="195">
        <v>9658</v>
      </c>
      <c r="I127" s="212">
        <f t="shared" si="56"/>
        <v>9.5632444696539975E-2</v>
      </c>
      <c r="J127" s="194">
        <f t="shared" si="55"/>
        <v>843</v>
      </c>
      <c r="K127" s="196">
        <f t="shared" si="54"/>
        <v>3.0862629343911883E-3</v>
      </c>
    </row>
    <row r="128" spans="2:11" x14ac:dyDescent="0.25">
      <c r="B128" s="194" t="s">
        <v>118</v>
      </c>
      <c r="C128" s="195">
        <v>2224</v>
      </c>
      <c r="D128" s="195">
        <v>4883</v>
      </c>
      <c r="E128" s="195">
        <v>5877</v>
      </c>
      <c r="F128" s="195">
        <v>6321</v>
      </c>
      <c r="G128" s="195">
        <v>6241</v>
      </c>
      <c r="H128" s="195">
        <v>6790</v>
      </c>
      <c r="I128" s="212">
        <f t="shared" si="56"/>
        <v>8.7966672007691038E-2</v>
      </c>
      <c r="J128" s="194">
        <f t="shared" si="55"/>
        <v>549</v>
      </c>
      <c r="K128" s="196">
        <f t="shared" si="54"/>
        <v>2.1697789733398395E-3</v>
      </c>
    </row>
    <row r="129" spans="2:11" x14ac:dyDescent="0.25">
      <c r="B129" s="194" t="s">
        <v>125</v>
      </c>
      <c r="C129" s="195">
        <v>594</v>
      </c>
      <c r="D129" s="195">
        <v>666</v>
      </c>
      <c r="E129" s="195">
        <v>1853</v>
      </c>
      <c r="F129" s="195">
        <v>1896</v>
      </c>
      <c r="G129" s="195">
        <v>1689</v>
      </c>
      <c r="H129" s="195">
        <v>1970</v>
      </c>
      <c r="I129" s="212">
        <f t="shared" si="56"/>
        <v>0.16637063351095316</v>
      </c>
      <c r="J129" s="194">
        <f t="shared" si="55"/>
        <v>281</v>
      </c>
      <c r="K129" s="196">
        <f t="shared" si="54"/>
        <v>6.2952350183792104E-4</v>
      </c>
    </row>
    <row r="130" spans="2:11" x14ac:dyDescent="0.25">
      <c r="B130" s="194" t="s">
        <v>121</v>
      </c>
      <c r="C130" s="195">
        <v>578</v>
      </c>
      <c r="D130" s="195">
        <v>578</v>
      </c>
      <c r="E130" s="195">
        <v>1263</v>
      </c>
      <c r="F130" s="195">
        <v>1296</v>
      </c>
      <c r="G130" s="195">
        <v>1391</v>
      </c>
      <c r="H130" s="195">
        <v>1717</v>
      </c>
      <c r="I130" s="212">
        <f t="shared" si="56"/>
        <v>0.23436376707404749</v>
      </c>
      <c r="J130" s="194">
        <f t="shared" si="55"/>
        <v>326</v>
      </c>
      <c r="K130" s="196">
        <f t="shared" si="54"/>
        <v>5.4867606733792409E-4</v>
      </c>
    </row>
    <row r="131" spans="2:11" x14ac:dyDescent="0.25">
      <c r="B131" s="194" t="s">
        <v>130</v>
      </c>
      <c r="C131" s="195">
        <v>637</v>
      </c>
      <c r="D131" s="195">
        <v>98</v>
      </c>
      <c r="E131" s="195">
        <v>655</v>
      </c>
      <c r="F131" s="195">
        <v>861</v>
      </c>
      <c r="G131" s="195">
        <v>946</v>
      </c>
      <c r="H131" s="195">
        <v>761</v>
      </c>
      <c r="I131" s="212">
        <f t="shared" si="56"/>
        <v>-0.19556025369978858</v>
      </c>
      <c r="J131" s="194">
        <f t="shared" si="55"/>
        <v>-185</v>
      </c>
      <c r="K131" s="196">
        <f t="shared" si="54"/>
        <v>2.4318141365414108E-4</v>
      </c>
    </row>
    <row r="132" spans="2:11" x14ac:dyDescent="0.25">
      <c r="B132" s="194" t="s">
        <v>133</v>
      </c>
      <c r="C132" s="195">
        <v>1010</v>
      </c>
      <c r="D132" s="195">
        <v>227</v>
      </c>
      <c r="E132" s="195">
        <v>1105</v>
      </c>
      <c r="F132" s="195">
        <v>1564</v>
      </c>
      <c r="G132" s="195">
        <v>1427</v>
      </c>
      <c r="H132" s="195">
        <v>1457</v>
      </c>
      <c r="I132" s="212">
        <f t="shared" si="56"/>
        <v>2.1023125437981793E-2</v>
      </c>
      <c r="J132" s="194">
        <f t="shared" si="55"/>
        <v>30</v>
      </c>
      <c r="K132" s="196">
        <f t="shared" si="54"/>
        <v>4.655917472984015E-4</v>
      </c>
    </row>
    <row r="133" spans="2:11" x14ac:dyDescent="0.25">
      <c r="B133" s="199" t="s">
        <v>147</v>
      </c>
      <c r="C133" s="200">
        <f t="shared" ref="C133" si="57">C125-SUM(C126:C132)</f>
        <v>19475</v>
      </c>
      <c r="D133" s="200">
        <f t="shared" ref="D133:H133" si="58">D125-SUM(D126:D132)</f>
        <v>23502</v>
      </c>
      <c r="E133" s="200">
        <f t="shared" si="58"/>
        <v>36928</v>
      </c>
      <c r="F133" s="200">
        <f t="shared" si="58"/>
        <v>36143</v>
      </c>
      <c r="G133" s="200">
        <f t="shared" si="58"/>
        <v>37662</v>
      </c>
      <c r="H133" s="200">
        <f t="shared" si="58"/>
        <v>41464</v>
      </c>
      <c r="I133" s="213">
        <f t="shared" si="56"/>
        <v>0.10095056024640225</v>
      </c>
      <c r="J133" s="199">
        <f>H133-G133</f>
        <v>3802</v>
      </c>
      <c r="K133" s="201">
        <f t="shared" si="54"/>
        <v>1.3250031715841399E-2</v>
      </c>
    </row>
    <row r="134" spans="2:11" x14ac:dyDescent="0.25">
      <c r="B134" s="186" t="s">
        <v>54</v>
      </c>
      <c r="C134" s="184"/>
      <c r="D134" s="184"/>
      <c r="E134" s="184"/>
      <c r="F134" s="184"/>
      <c r="G134" s="184"/>
      <c r="H134" s="184"/>
      <c r="I134" s="185"/>
      <c r="J134" s="185"/>
      <c r="K134" s="184"/>
    </row>
    <row r="135" spans="2:11" x14ac:dyDescent="0.25">
      <c r="B135" s="187" t="s">
        <v>70</v>
      </c>
      <c r="C135" s="209">
        <f t="shared" ref="C135:H135" si="59">C136+C139</f>
        <v>55367</v>
      </c>
      <c r="D135" s="209">
        <f t="shared" si="59"/>
        <v>64813</v>
      </c>
      <c r="E135" s="209">
        <f t="shared" si="59"/>
        <v>157275</v>
      </c>
      <c r="F135" s="209">
        <f t="shared" si="59"/>
        <v>168976</v>
      </c>
      <c r="G135" s="209">
        <f t="shared" si="59"/>
        <v>176312</v>
      </c>
      <c r="H135" s="209">
        <f t="shared" si="59"/>
        <v>173044</v>
      </c>
      <c r="I135" s="210">
        <f>IFERROR(H135/G135-1,"-")</f>
        <v>-1.853532374427147E-2</v>
      </c>
      <c r="J135" s="209">
        <f>H135-G135</f>
        <v>-3268</v>
      </c>
      <c r="K135" s="210">
        <f t="shared" ref="K135:K147" si="60">H135/H$9</f>
        <v>5.5297088757381326E-2</v>
      </c>
    </row>
    <row r="136" spans="2:11" x14ac:dyDescent="0.25">
      <c r="B136" s="190" t="s">
        <v>99</v>
      </c>
      <c r="C136" s="191">
        <v>11787</v>
      </c>
      <c r="D136" s="191">
        <v>31570</v>
      </c>
      <c r="E136" s="191">
        <v>17845</v>
      </c>
      <c r="F136" s="191">
        <v>18970</v>
      </c>
      <c r="G136" s="191">
        <v>16443</v>
      </c>
      <c r="H136" s="191">
        <v>18906</v>
      </c>
      <c r="I136" s="211">
        <f>IFERROR(H136/G136-1,"-")</f>
        <v>0.14979018427294299</v>
      </c>
      <c r="J136" s="190">
        <f t="shared" ref="J136:J146" si="61">H136-G136</f>
        <v>2463</v>
      </c>
      <c r="K136" s="192">
        <f t="shared" si="60"/>
        <v>6.0415082871815911E-3</v>
      </c>
    </row>
    <row r="137" spans="2:11" x14ac:dyDescent="0.25">
      <c r="B137" s="194" t="s">
        <v>105</v>
      </c>
      <c r="C137" s="195">
        <v>7683</v>
      </c>
      <c r="D137" s="195">
        <v>24857</v>
      </c>
      <c r="E137" s="195">
        <v>12496</v>
      </c>
      <c r="F137" s="195">
        <v>12229</v>
      </c>
      <c r="G137" s="195">
        <v>10288</v>
      </c>
      <c r="H137" s="195">
        <v>11971</v>
      </c>
      <c r="I137" s="212">
        <f>IFERROR(H137/G137-1,"-")</f>
        <v>0.16358864696734066</v>
      </c>
      <c r="J137" s="194">
        <f t="shared" si="61"/>
        <v>1683</v>
      </c>
      <c r="K137" s="196">
        <f t="shared" si="60"/>
        <v>3.8253938276658641E-3</v>
      </c>
    </row>
    <row r="138" spans="2:11" x14ac:dyDescent="0.25">
      <c r="B138" s="194" t="s">
        <v>102</v>
      </c>
      <c r="C138" s="195">
        <v>4104</v>
      </c>
      <c r="D138" s="195">
        <v>6713</v>
      </c>
      <c r="E138" s="195">
        <v>5349</v>
      </c>
      <c r="F138" s="195">
        <v>6741</v>
      </c>
      <c r="G138" s="195">
        <v>6155</v>
      </c>
      <c r="H138" s="195">
        <v>6935</v>
      </c>
      <c r="I138" s="212">
        <f>IFERROR(H138/G138-1,"-")</f>
        <v>0.12672623883021927</v>
      </c>
      <c r="J138" s="194">
        <f t="shared" si="61"/>
        <v>780</v>
      </c>
      <c r="K138" s="196">
        <f t="shared" si="60"/>
        <v>2.216114459515727E-3</v>
      </c>
    </row>
    <row r="139" spans="2:11" x14ac:dyDescent="0.25">
      <c r="B139" s="190" t="s">
        <v>109</v>
      </c>
      <c r="C139" s="191">
        <v>43580</v>
      </c>
      <c r="D139" s="191">
        <v>33243</v>
      </c>
      <c r="E139" s="191">
        <v>139430</v>
      </c>
      <c r="F139" s="191">
        <v>150006</v>
      </c>
      <c r="G139" s="191">
        <v>159869</v>
      </c>
      <c r="H139" s="191">
        <v>154138</v>
      </c>
      <c r="I139" s="211">
        <f>IFERROR(H139/G139-1,"-")</f>
        <v>-3.5848100632392743E-2</v>
      </c>
      <c r="J139" s="190">
        <f t="shared" si="61"/>
        <v>-5731</v>
      </c>
      <c r="K139" s="192">
        <f t="shared" si="60"/>
        <v>4.9255580470199734E-2</v>
      </c>
    </row>
    <row r="140" spans="2:11" x14ac:dyDescent="0.25">
      <c r="B140" s="194" t="s">
        <v>112</v>
      </c>
      <c r="C140" s="195">
        <v>15952</v>
      </c>
      <c r="D140" s="195">
        <v>5517</v>
      </c>
      <c r="E140" s="195">
        <v>61036</v>
      </c>
      <c r="F140" s="195">
        <v>65615</v>
      </c>
      <c r="G140" s="195">
        <v>72783</v>
      </c>
      <c r="H140" s="195">
        <v>72439</v>
      </c>
      <c r="I140" s="212">
        <f t="shared" ref="I140:I147" si="62">IFERROR(H140/G140-1,"-")</f>
        <v>-4.726378412541421E-3</v>
      </c>
      <c r="J140" s="194">
        <f t="shared" si="61"/>
        <v>-344</v>
      </c>
      <c r="K140" s="196">
        <f t="shared" si="60"/>
        <v>2.3148250228242215E-2</v>
      </c>
    </row>
    <row r="141" spans="2:11" x14ac:dyDescent="0.25">
      <c r="B141" s="194" t="s">
        <v>115</v>
      </c>
      <c r="C141" s="195">
        <v>3597</v>
      </c>
      <c r="D141" s="195">
        <v>3377</v>
      </c>
      <c r="E141" s="195">
        <v>8746</v>
      </c>
      <c r="F141" s="195">
        <v>12856</v>
      </c>
      <c r="G141" s="195">
        <v>13363</v>
      </c>
      <c r="H141" s="195">
        <v>12998</v>
      </c>
      <c r="I141" s="212">
        <f t="shared" si="62"/>
        <v>-2.7314225847489326E-2</v>
      </c>
      <c r="J141" s="194">
        <f t="shared" si="61"/>
        <v>-365</v>
      </c>
      <c r="K141" s="196">
        <f t="shared" si="60"/>
        <v>4.1535768918219782E-3</v>
      </c>
    </row>
    <row r="142" spans="2:11" x14ac:dyDescent="0.25">
      <c r="B142" s="194" t="s">
        <v>118</v>
      </c>
      <c r="C142" s="195">
        <v>4152</v>
      </c>
      <c r="D142" s="195">
        <v>7198</v>
      </c>
      <c r="E142" s="195">
        <v>17705</v>
      </c>
      <c r="F142" s="195">
        <v>16022</v>
      </c>
      <c r="G142" s="195">
        <v>16112</v>
      </c>
      <c r="H142" s="195">
        <v>14171</v>
      </c>
      <c r="I142" s="212">
        <f t="shared" si="62"/>
        <v>-0.12046921549155909</v>
      </c>
      <c r="J142" s="194">
        <f t="shared" si="61"/>
        <v>-1941</v>
      </c>
      <c r="K142" s="196">
        <f t="shared" si="60"/>
        <v>4.5284149972310552E-3</v>
      </c>
    </row>
    <row r="143" spans="2:11" x14ac:dyDescent="0.25">
      <c r="B143" s="194" t="s">
        <v>125</v>
      </c>
      <c r="C143" s="195">
        <v>562</v>
      </c>
      <c r="D143" s="195">
        <v>1022</v>
      </c>
      <c r="E143" s="195">
        <v>6612</v>
      </c>
      <c r="F143" s="195">
        <v>5654</v>
      </c>
      <c r="G143" s="195">
        <v>3805</v>
      </c>
      <c r="H143" s="195">
        <v>3323</v>
      </c>
      <c r="I143" s="212">
        <f t="shared" si="62"/>
        <v>-0.12667542706964519</v>
      </c>
      <c r="J143" s="194">
        <f t="shared" si="61"/>
        <v>-482</v>
      </c>
      <c r="K143" s="196">
        <f t="shared" si="60"/>
        <v>1.0618815211205135E-3</v>
      </c>
    </row>
    <row r="144" spans="2:11" x14ac:dyDescent="0.25">
      <c r="B144" s="194" t="s">
        <v>121</v>
      </c>
      <c r="C144" s="195">
        <v>1346</v>
      </c>
      <c r="D144" s="195">
        <v>1638</v>
      </c>
      <c r="E144" s="195">
        <v>2635</v>
      </c>
      <c r="F144" s="195">
        <v>3343</v>
      </c>
      <c r="G144" s="195">
        <v>3755</v>
      </c>
      <c r="H144" s="195">
        <v>2601</v>
      </c>
      <c r="I144" s="212">
        <f t="shared" si="62"/>
        <v>-0.30732356857523302</v>
      </c>
      <c r="J144" s="194">
        <f t="shared" si="61"/>
        <v>-1154</v>
      </c>
      <c r="K144" s="196">
        <f t="shared" si="60"/>
        <v>8.311627554723008E-4</v>
      </c>
    </row>
    <row r="145" spans="2:11" x14ac:dyDescent="0.25">
      <c r="B145" s="194" t="s">
        <v>130</v>
      </c>
      <c r="C145" s="195">
        <v>1581</v>
      </c>
      <c r="D145" s="195">
        <v>36</v>
      </c>
      <c r="E145" s="195">
        <v>1657</v>
      </c>
      <c r="F145" s="195">
        <v>1964</v>
      </c>
      <c r="G145" s="195">
        <v>1842</v>
      </c>
      <c r="H145" s="195">
        <v>2040</v>
      </c>
      <c r="I145" s="212">
        <f t="shared" si="62"/>
        <v>0.10749185667752448</v>
      </c>
      <c r="J145" s="194">
        <f t="shared" si="61"/>
        <v>198</v>
      </c>
      <c r="K145" s="196">
        <f t="shared" si="60"/>
        <v>6.5189235723317712E-4</v>
      </c>
    </row>
    <row r="146" spans="2:11" x14ac:dyDescent="0.25">
      <c r="B146" s="194" t="s">
        <v>133</v>
      </c>
      <c r="C146" s="195">
        <v>3280</v>
      </c>
      <c r="D146" s="195">
        <v>43</v>
      </c>
      <c r="E146" s="195">
        <v>742</v>
      </c>
      <c r="F146" s="195">
        <v>1329</v>
      </c>
      <c r="G146" s="195">
        <v>1170</v>
      </c>
      <c r="H146" s="195">
        <v>829</v>
      </c>
      <c r="I146" s="212">
        <f t="shared" si="62"/>
        <v>-0.29145299145299142</v>
      </c>
      <c r="J146" s="194">
        <f t="shared" si="61"/>
        <v>-341</v>
      </c>
      <c r="K146" s="196">
        <f t="shared" si="60"/>
        <v>2.6491115889524695E-4</v>
      </c>
    </row>
    <row r="147" spans="2:11" x14ac:dyDescent="0.25">
      <c r="B147" s="199" t="s">
        <v>147</v>
      </c>
      <c r="C147" s="200">
        <f t="shared" ref="C147" si="63">C139-SUM(C140:C146)</f>
        <v>13110</v>
      </c>
      <c r="D147" s="200">
        <f t="shared" ref="D147:H147" si="64">D139-SUM(D140:D146)</f>
        <v>14412</v>
      </c>
      <c r="E147" s="200">
        <f t="shared" si="64"/>
        <v>40297</v>
      </c>
      <c r="F147" s="200">
        <f t="shared" si="64"/>
        <v>43223</v>
      </c>
      <c r="G147" s="200">
        <f t="shared" si="64"/>
        <v>47039</v>
      </c>
      <c r="H147" s="200">
        <f t="shared" si="64"/>
        <v>45737</v>
      </c>
      <c r="I147" s="213">
        <f t="shared" si="62"/>
        <v>-2.7679159846085155E-2</v>
      </c>
      <c r="J147" s="199">
        <f>H147-G147</f>
        <v>-1302</v>
      </c>
      <c r="K147" s="201">
        <f t="shared" si="60"/>
        <v>1.4615490560183245E-2</v>
      </c>
    </row>
    <row r="148" spans="2:11" x14ac:dyDescent="0.25">
      <c r="B148" s="186" t="s">
        <v>55</v>
      </c>
      <c r="C148" s="184"/>
      <c r="D148" s="184"/>
      <c r="E148" s="184"/>
      <c r="F148" s="184"/>
      <c r="G148" s="184"/>
      <c r="H148" s="184"/>
      <c r="I148" s="185"/>
      <c r="J148" s="185"/>
      <c r="K148" s="184"/>
    </row>
    <row r="149" spans="2:11" x14ac:dyDescent="0.25">
      <c r="B149" s="187" t="s">
        <v>70</v>
      </c>
      <c r="C149" s="209">
        <f t="shared" ref="C149:H149" si="65">C150+C153</f>
        <v>30427</v>
      </c>
      <c r="D149" s="209">
        <f t="shared" si="65"/>
        <v>42523</v>
      </c>
      <c r="E149" s="209">
        <f t="shared" si="65"/>
        <v>78991</v>
      </c>
      <c r="F149" s="209">
        <f t="shared" si="65"/>
        <v>82998</v>
      </c>
      <c r="G149" s="209">
        <f t="shared" si="65"/>
        <v>86316</v>
      </c>
      <c r="H149" s="209">
        <f t="shared" si="65"/>
        <v>85085</v>
      </c>
      <c r="I149" s="210">
        <f>IFERROR(H149/G149-1,"-")</f>
        <v>-1.4261550581583959E-2</v>
      </c>
      <c r="J149" s="209">
        <f>H149-G149</f>
        <v>-1231</v>
      </c>
      <c r="K149" s="210">
        <f t="shared" ref="K149:K161" si="66">H149/H$9</f>
        <v>2.718934373293376E-2</v>
      </c>
    </row>
    <row r="150" spans="2:11" x14ac:dyDescent="0.25">
      <c r="B150" s="190" t="s">
        <v>99</v>
      </c>
      <c r="C150" s="191">
        <v>13736</v>
      </c>
      <c r="D150" s="191">
        <v>27547</v>
      </c>
      <c r="E150" s="191">
        <v>43308</v>
      </c>
      <c r="F150" s="191">
        <v>44260</v>
      </c>
      <c r="G150" s="191">
        <v>40512</v>
      </c>
      <c r="H150" s="191">
        <v>38469</v>
      </c>
      <c r="I150" s="211">
        <f>IFERROR(H150/G150-1,"-")</f>
        <v>-5.0429502369668255E-2</v>
      </c>
      <c r="J150" s="190">
        <f t="shared" ref="J150:J160" si="67">H150-G150</f>
        <v>-2043</v>
      </c>
      <c r="K150" s="192">
        <f t="shared" si="66"/>
        <v>1.2292964260001515E-2</v>
      </c>
    </row>
    <row r="151" spans="2:11" x14ac:dyDescent="0.25">
      <c r="B151" s="194" t="s">
        <v>105</v>
      </c>
      <c r="C151" s="195">
        <v>7506</v>
      </c>
      <c r="D151" s="195">
        <v>22012</v>
      </c>
      <c r="E151" s="195">
        <v>31628</v>
      </c>
      <c r="F151" s="195">
        <v>32698</v>
      </c>
      <c r="G151" s="195">
        <v>28035</v>
      </c>
      <c r="H151" s="195">
        <v>24828</v>
      </c>
      <c r="I151" s="212">
        <f>IFERROR(H151/G151-1,"-")</f>
        <v>-0.11439272338148743</v>
      </c>
      <c r="J151" s="194">
        <f t="shared" si="67"/>
        <v>-3207</v>
      </c>
      <c r="K151" s="196">
        <f t="shared" si="66"/>
        <v>7.933913453620255E-3</v>
      </c>
    </row>
    <row r="152" spans="2:11" x14ac:dyDescent="0.25">
      <c r="B152" s="194" t="s">
        <v>102</v>
      </c>
      <c r="C152" s="195">
        <v>6230</v>
      </c>
      <c r="D152" s="195">
        <v>5535</v>
      </c>
      <c r="E152" s="195">
        <v>11680</v>
      </c>
      <c r="F152" s="195">
        <v>11562</v>
      </c>
      <c r="G152" s="195">
        <v>12477</v>
      </c>
      <c r="H152" s="195">
        <v>13641</v>
      </c>
      <c r="I152" s="212">
        <f>IFERROR(H152/G152-1,"-")</f>
        <v>9.329165664823269E-2</v>
      </c>
      <c r="J152" s="194">
        <f t="shared" si="67"/>
        <v>1164</v>
      </c>
      <c r="K152" s="196">
        <f t="shared" si="66"/>
        <v>4.3590508063812592E-3</v>
      </c>
    </row>
    <row r="153" spans="2:11" x14ac:dyDescent="0.25">
      <c r="B153" s="190" t="s">
        <v>109</v>
      </c>
      <c r="C153" s="191">
        <v>16691</v>
      </c>
      <c r="D153" s="191">
        <v>14976</v>
      </c>
      <c r="E153" s="191">
        <v>35683</v>
      </c>
      <c r="F153" s="191">
        <v>38738</v>
      </c>
      <c r="G153" s="191">
        <v>45804</v>
      </c>
      <c r="H153" s="191">
        <v>46616</v>
      </c>
      <c r="I153" s="211">
        <f>IFERROR(H153/G153-1,"-")</f>
        <v>1.7727709370360722E-2</v>
      </c>
      <c r="J153" s="190">
        <f t="shared" si="67"/>
        <v>812</v>
      </c>
      <c r="K153" s="192">
        <f t="shared" si="66"/>
        <v>1.4896379472932247E-2</v>
      </c>
    </row>
    <row r="154" spans="2:11" x14ac:dyDescent="0.25">
      <c r="B154" s="194" t="s">
        <v>112</v>
      </c>
      <c r="C154" s="195">
        <v>4971</v>
      </c>
      <c r="D154" s="195">
        <v>1385</v>
      </c>
      <c r="E154" s="195">
        <v>13562</v>
      </c>
      <c r="F154" s="195">
        <v>13219</v>
      </c>
      <c r="G154" s="195">
        <v>14840</v>
      </c>
      <c r="H154" s="195">
        <v>13074</v>
      </c>
      <c r="I154" s="212">
        <f t="shared" ref="I154:I161" si="68">IFERROR(H154/G154-1,"-")</f>
        <v>-0.11900269541778974</v>
      </c>
      <c r="J154" s="194">
        <f t="shared" si="67"/>
        <v>-1766</v>
      </c>
      <c r="K154" s="196">
        <f t="shared" si="66"/>
        <v>4.1778630776796851E-3</v>
      </c>
    </row>
    <row r="155" spans="2:11" x14ac:dyDescent="0.25">
      <c r="B155" s="194" t="s">
        <v>115</v>
      </c>
      <c r="C155" s="195">
        <v>4075</v>
      </c>
      <c r="D155" s="195">
        <v>2980</v>
      </c>
      <c r="E155" s="195">
        <v>6586</v>
      </c>
      <c r="F155" s="195">
        <v>6774</v>
      </c>
      <c r="G155" s="195">
        <v>6659</v>
      </c>
      <c r="H155" s="195">
        <v>6724</v>
      </c>
      <c r="I155" s="212">
        <f t="shared" si="68"/>
        <v>9.7612254092205308E-3</v>
      </c>
      <c r="J155" s="194">
        <f t="shared" si="67"/>
        <v>65</v>
      </c>
      <c r="K155" s="196">
        <f t="shared" si="66"/>
        <v>2.1486883382528838E-3</v>
      </c>
    </row>
    <row r="156" spans="2:11" x14ac:dyDescent="0.25">
      <c r="B156" s="194" t="s">
        <v>118</v>
      </c>
      <c r="C156" s="195">
        <v>1941</v>
      </c>
      <c r="D156" s="195">
        <v>3522</v>
      </c>
      <c r="E156" s="195">
        <v>4498</v>
      </c>
      <c r="F156" s="195">
        <v>6381</v>
      </c>
      <c r="G156" s="195">
        <v>8091</v>
      </c>
      <c r="H156" s="195">
        <v>11820</v>
      </c>
      <c r="I156" s="212">
        <f t="shared" si="68"/>
        <v>0.46088246199480909</v>
      </c>
      <c r="J156" s="194">
        <f t="shared" si="67"/>
        <v>3729</v>
      </c>
      <c r="K156" s="196">
        <f t="shared" si="66"/>
        <v>3.777141011027526E-3</v>
      </c>
    </row>
    <row r="157" spans="2:11" x14ac:dyDescent="0.25">
      <c r="B157" s="194" t="s">
        <v>125</v>
      </c>
      <c r="C157" s="195">
        <v>538</v>
      </c>
      <c r="D157" s="195">
        <v>461</v>
      </c>
      <c r="E157" s="195">
        <v>1073</v>
      </c>
      <c r="F157" s="195">
        <v>981</v>
      </c>
      <c r="G157" s="195">
        <v>1306</v>
      </c>
      <c r="H157" s="195">
        <v>1340</v>
      </c>
      <c r="I157" s="212">
        <f t="shared" si="68"/>
        <v>2.6033690658499253E-2</v>
      </c>
      <c r="J157" s="194">
        <f t="shared" si="67"/>
        <v>34</v>
      </c>
      <c r="K157" s="196">
        <f t="shared" si="66"/>
        <v>4.2820380328061633E-4</v>
      </c>
    </row>
    <row r="158" spans="2:11" x14ac:dyDescent="0.25">
      <c r="B158" s="194" t="s">
        <v>121</v>
      </c>
      <c r="C158" s="195">
        <v>1049</v>
      </c>
      <c r="D158" s="195">
        <v>1078</v>
      </c>
      <c r="E158" s="195">
        <v>2288</v>
      </c>
      <c r="F158" s="195">
        <v>2061</v>
      </c>
      <c r="G158" s="195">
        <v>2535</v>
      </c>
      <c r="H158" s="195">
        <v>1846</v>
      </c>
      <c r="I158" s="212">
        <f t="shared" si="68"/>
        <v>-0.27179487179487183</v>
      </c>
      <c r="J158" s="194">
        <f t="shared" si="67"/>
        <v>-689</v>
      </c>
      <c r="K158" s="196">
        <f t="shared" si="66"/>
        <v>5.8989867228061025E-4</v>
      </c>
    </row>
    <row r="159" spans="2:11" x14ac:dyDescent="0.25">
      <c r="B159" s="194" t="s">
        <v>130</v>
      </c>
      <c r="C159" s="195">
        <v>217</v>
      </c>
      <c r="D159" s="195">
        <v>43</v>
      </c>
      <c r="E159" s="195">
        <v>277</v>
      </c>
      <c r="F159" s="195">
        <v>267</v>
      </c>
      <c r="G159" s="195">
        <v>285</v>
      </c>
      <c r="H159" s="195">
        <v>211</v>
      </c>
      <c r="I159" s="212">
        <f t="shared" si="68"/>
        <v>-0.25964912280701757</v>
      </c>
      <c r="J159" s="194">
        <f t="shared" si="67"/>
        <v>-74</v>
      </c>
      <c r="K159" s="196">
        <f t="shared" si="66"/>
        <v>6.7426121262843314E-5</v>
      </c>
    </row>
    <row r="160" spans="2:11" x14ac:dyDescent="0.25">
      <c r="B160" s="194" t="s">
        <v>133</v>
      </c>
      <c r="C160" s="195">
        <v>277</v>
      </c>
      <c r="D160" s="195">
        <v>79</v>
      </c>
      <c r="E160" s="195">
        <v>403</v>
      </c>
      <c r="F160" s="195">
        <v>540</v>
      </c>
      <c r="G160" s="195">
        <v>396</v>
      </c>
      <c r="H160" s="195">
        <v>285</v>
      </c>
      <c r="I160" s="212">
        <f t="shared" si="68"/>
        <v>-0.28030303030303028</v>
      </c>
      <c r="J160" s="194">
        <f t="shared" si="67"/>
        <v>-111</v>
      </c>
      <c r="K160" s="196">
        <f t="shared" si="66"/>
        <v>9.1073196966399747E-5</v>
      </c>
    </row>
    <row r="161" spans="2:11" x14ac:dyDescent="0.25">
      <c r="B161" s="199" t="s">
        <v>147</v>
      </c>
      <c r="C161" s="200">
        <f t="shared" ref="C161" si="69">C153-SUM(C154:C160)</f>
        <v>3623</v>
      </c>
      <c r="D161" s="200">
        <f t="shared" ref="D161:H161" si="70">D153-SUM(D154:D160)</f>
        <v>5428</v>
      </c>
      <c r="E161" s="200">
        <f t="shared" si="70"/>
        <v>6996</v>
      </c>
      <c r="F161" s="200">
        <f t="shared" si="70"/>
        <v>8515</v>
      </c>
      <c r="G161" s="200">
        <f t="shared" si="70"/>
        <v>11692</v>
      </c>
      <c r="H161" s="200">
        <f t="shared" si="70"/>
        <v>11316</v>
      </c>
      <c r="I161" s="213">
        <f t="shared" si="68"/>
        <v>-3.2158741019500559E-2</v>
      </c>
      <c r="J161" s="199">
        <f>H161-G161</f>
        <v>-376</v>
      </c>
      <c r="K161" s="201">
        <f t="shared" si="66"/>
        <v>3.6160852521816824E-3</v>
      </c>
    </row>
    <row r="162" spans="2:11" x14ac:dyDescent="0.25">
      <c r="C162" s="103"/>
      <c r="D162" s="103"/>
      <c r="E162" s="103"/>
      <c r="F162" s="103"/>
      <c r="G162" s="103"/>
      <c r="H162" s="103"/>
      <c r="I162" s="103"/>
    </row>
    <row r="163" spans="2:11" x14ac:dyDescent="0.25">
      <c r="B163" s="131" t="s">
        <v>57</v>
      </c>
      <c r="C163" s="131"/>
      <c r="D163" s="131"/>
      <c r="E163" s="131"/>
      <c r="F163" s="131"/>
      <c r="G163" s="131"/>
      <c r="H163" s="131"/>
      <c r="I163" s="131"/>
      <c r="J163" s="131"/>
      <c r="K163" s="131"/>
    </row>
  </sheetData>
  <mergeCells count="3">
    <mergeCell ref="B4:I4"/>
    <mergeCell ref="C6:K6"/>
    <mergeCell ref="O6:W6"/>
  </mergeCells>
  <pageMargins left="0.25" right="0.25" top="0.75" bottom="0.75" header="0.3" footer="0.3"/>
  <pageSetup paperSize="9" scale="88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F2E80-07D7-4568-BE13-B68FD580ED2D}">
  <sheetPr>
    <tabColor theme="7" tint="0.79998168889431442"/>
    <pageSetUpPr fitToPage="1"/>
  </sheetPr>
  <dimension ref="A1:W163"/>
  <sheetViews>
    <sheetView showGridLines="0" workbookViewId="0">
      <selection activeCell="G10" sqref="G10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3" max="13" width="11.42578125" customWidth="1"/>
    <col min="14" max="23" width="11.42578125" hidden="1" customWidth="1"/>
  </cols>
  <sheetData>
    <row r="1" spans="1:23" ht="42.75" customHeight="1" x14ac:dyDescent="0.25"/>
    <row r="4" spans="1:23" ht="42" customHeight="1" thickBot="1" x14ac:dyDescent="0.3">
      <c r="B4" s="12" t="str">
        <f>CONCATENATE("Viajeros entrados en los apartamentos de Tenerife según lugar de residencia y municipio de alojamiento")</f>
        <v>Viajeros entrados en los apartamentos de Tenerife según lugar de residencia y municipio de alojamiento</v>
      </c>
      <c r="C4" s="12"/>
      <c r="D4" s="12"/>
      <c r="E4" s="12"/>
      <c r="F4" s="12"/>
      <c r="G4" s="12"/>
      <c r="H4" s="12"/>
      <c r="I4" s="12"/>
      <c r="J4" s="173"/>
      <c r="K4" s="173"/>
      <c r="N4" s="172" t="s">
        <v>272</v>
      </c>
      <c r="O4" s="173"/>
      <c r="P4" s="173"/>
      <c r="Q4" s="173"/>
      <c r="R4" s="173"/>
      <c r="S4" s="173"/>
      <c r="T4" s="173"/>
      <c r="U4" s="173"/>
      <c r="V4" s="173"/>
      <c r="W4" s="173"/>
    </row>
    <row r="5" spans="1:23" ht="6" customHeight="1" x14ac:dyDescent="0.25"/>
    <row r="6" spans="1:23" ht="15.75" x14ac:dyDescent="0.25">
      <c r="B6" s="174"/>
      <c r="C6" s="203" t="s">
        <v>45</v>
      </c>
      <c r="D6" s="204"/>
      <c r="E6" s="204"/>
      <c r="F6" s="204"/>
      <c r="G6" s="204"/>
      <c r="H6" s="204"/>
      <c r="I6" s="204"/>
      <c r="J6" s="204"/>
      <c r="K6" s="204"/>
      <c r="N6" s="174"/>
      <c r="O6" s="203" t="s">
        <v>45</v>
      </c>
      <c r="P6" s="204"/>
      <c r="Q6" s="204"/>
      <c r="R6" s="204"/>
      <c r="S6" s="204"/>
      <c r="T6" s="204"/>
      <c r="U6" s="204"/>
      <c r="V6" s="204"/>
      <c r="W6" s="204"/>
    </row>
    <row r="7" spans="1:23" s="177" customFormat="1" ht="72" customHeight="1" x14ac:dyDescent="0.25">
      <c r="B7" s="178"/>
      <c r="C7" s="205" t="s">
        <v>265</v>
      </c>
      <c r="D7" s="205" t="s">
        <v>266</v>
      </c>
      <c r="E7" s="205" t="s">
        <v>267</v>
      </c>
      <c r="F7" s="205" t="s">
        <v>268</v>
      </c>
      <c r="G7" s="205" t="s">
        <v>269</v>
      </c>
      <c r="H7" s="205" t="s">
        <v>270</v>
      </c>
      <c r="I7" s="206" t="str">
        <f>CONCATENATE("var. ",RIGHT(H7,2),"/",RIGHT(G7,2))</f>
        <v>var. 25/24</v>
      </c>
      <c r="J7" s="205" t="str">
        <f>CONCATENATE("dif. ",RIGHT(H7,2),"/",RIGHT(G7,2))</f>
        <v>dif. 25/24</v>
      </c>
      <c r="K7" s="206" t="str">
        <f>CONCATENATE("Cuota s/ total lugares de residencia ",RIGHT(H7,4))</f>
        <v>Cuota s/ total lugares de residencia 2025</v>
      </c>
      <c r="N7" s="178"/>
      <c r="O7" s="205" t="s">
        <v>265</v>
      </c>
      <c r="P7" s="205" t="s">
        <v>266</v>
      </c>
      <c r="Q7" s="205" t="s">
        <v>267</v>
      </c>
      <c r="R7" s="205" t="s">
        <v>268</v>
      </c>
      <c r="S7" s="205" t="s">
        <v>269</v>
      </c>
      <c r="T7" s="205" t="s">
        <v>270</v>
      </c>
      <c r="U7" s="206" t="str">
        <f>CONCATENATE("var. ",RIGHT(T7,2),"/",RIGHT(S7,2))</f>
        <v>var. 25/24</v>
      </c>
      <c r="V7" s="205" t="str">
        <f>CONCATENATE("dif. ",RIGHT(T7,2),"/",RIGHT(S7,2))</f>
        <v>dif. 25/24</v>
      </c>
      <c r="W7" s="206" t="str">
        <f>CONCATENATE("Cuota s/ total lugares de residencia ",RIGHT(T7,4))</f>
        <v>Cuota s/ total lugares de residencia 2025</v>
      </c>
    </row>
    <row r="8" spans="1:23" x14ac:dyDescent="0.25">
      <c r="A8" s="1"/>
      <c r="B8" s="183" t="s">
        <v>45</v>
      </c>
      <c r="C8" s="184"/>
      <c r="D8" s="184"/>
      <c r="E8" s="184"/>
      <c r="F8" s="184"/>
      <c r="G8" s="184"/>
      <c r="H8" s="185"/>
      <c r="I8" s="185"/>
      <c r="J8" s="185"/>
      <c r="K8" s="184"/>
      <c r="N8" s="186" t="s">
        <v>54</v>
      </c>
      <c r="O8" s="184"/>
      <c r="P8" s="184"/>
      <c r="Q8" s="184"/>
      <c r="R8" s="184"/>
      <c r="S8" s="184"/>
      <c r="T8" s="185"/>
      <c r="U8" s="185"/>
      <c r="V8" s="185"/>
      <c r="W8" s="184"/>
    </row>
    <row r="9" spans="1:23" x14ac:dyDescent="0.25">
      <c r="A9" s="1" t="s">
        <v>98</v>
      </c>
      <c r="B9" s="187" t="s">
        <v>70</v>
      </c>
      <c r="C9" s="209">
        <f t="shared" ref="C9:H9" si="0">C10+C13</f>
        <v>303151</v>
      </c>
      <c r="D9" s="209">
        <f t="shared" si="0"/>
        <v>273557</v>
      </c>
      <c r="E9" s="209">
        <f t="shared" si="0"/>
        <v>721826</v>
      </c>
      <c r="F9" s="209">
        <f t="shared" si="0"/>
        <v>817155</v>
      </c>
      <c r="G9" s="209">
        <f t="shared" si="0"/>
        <v>897594</v>
      </c>
      <c r="H9" s="209">
        <f t="shared" si="0"/>
        <v>942440</v>
      </c>
      <c r="I9" s="210">
        <f>IFERROR(H9/G9-1,"-")</f>
        <v>4.9962455185752042E-2</v>
      </c>
      <c r="J9" s="209">
        <f t="shared" ref="J9:J21" si="1">H9-G9</f>
        <v>44846</v>
      </c>
      <c r="K9" s="210">
        <f t="shared" ref="K9:K21" si="2">H9/H$9</f>
        <v>1</v>
      </c>
      <c r="N9" s="187" t="s">
        <v>70</v>
      </c>
      <c r="O9" s="209">
        <f t="shared" ref="O9:T9" si="3">O10+O13</f>
        <v>15952</v>
      </c>
      <c r="P9" s="209">
        <f t="shared" si="3"/>
        <v>12771</v>
      </c>
      <c r="Q9" s="209">
        <f t="shared" si="3"/>
        <v>33151</v>
      </c>
      <c r="R9" s="209">
        <f t="shared" si="3"/>
        <v>36262</v>
      </c>
      <c r="S9" s="209">
        <f t="shared" si="3"/>
        <v>37504</v>
      </c>
      <c r="T9" s="209">
        <f t="shared" si="3"/>
        <v>40689</v>
      </c>
      <c r="U9" s="210">
        <f>IFERROR(T9/S9-1,"-")</f>
        <v>8.4924274744027306E-2</v>
      </c>
      <c r="V9" s="209">
        <f>T9-S9</f>
        <v>3185</v>
      </c>
      <c r="W9" s="210">
        <f t="shared" ref="W9:W21" si="4">T9/T$9</f>
        <v>1</v>
      </c>
    </row>
    <row r="10" spans="1:23" x14ac:dyDescent="0.25">
      <c r="A10" s="193" t="s">
        <v>105</v>
      </c>
      <c r="B10" s="190" t="s">
        <v>99</v>
      </c>
      <c r="C10" s="191">
        <v>59454</v>
      </c>
      <c r="D10" s="191">
        <v>109047</v>
      </c>
      <c r="E10" s="191">
        <v>128004</v>
      </c>
      <c r="F10" s="191">
        <v>133108</v>
      </c>
      <c r="G10" s="191">
        <v>140162</v>
      </c>
      <c r="H10" s="191">
        <v>154192</v>
      </c>
      <c r="I10" s="211">
        <f>IFERROR(H10/G10-1,"-")</f>
        <v>0.10009845749917945</v>
      </c>
      <c r="J10" s="190">
        <f t="shared" si="1"/>
        <v>14030</v>
      </c>
      <c r="K10" s="192">
        <f t="shared" si="2"/>
        <v>0.16360935444166208</v>
      </c>
      <c r="N10" s="190" t="s">
        <v>99</v>
      </c>
      <c r="O10" s="191">
        <v>2865</v>
      </c>
      <c r="P10" s="191">
        <v>6046</v>
      </c>
      <c r="Q10" s="191">
        <v>6655</v>
      </c>
      <c r="R10" s="191">
        <v>7504</v>
      </c>
      <c r="S10" s="191">
        <v>6553</v>
      </c>
      <c r="T10" s="191">
        <v>7633</v>
      </c>
      <c r="U10" s="211">
        <f>IFERROR(T10/S10-1,"-")</f>
        <v>0.16481001068213041</v>
      </c>
      <c r="V10" s="190">
        <f t="shared" ref="V10:V20" si="5">T10-S10</f>
        <v>1080</v>
      </c>
      <c r="W10" s="192">
        <f t="shared" si="4"/>
        <v>0.18759369854260366</v>
      </c>
    </row>
    <row r="11" spans="1:23" x14ac:dyDescent="0.25">
      <c r="A11" s="193" t="s">
        <v>102</v>
      </c>
      <c r="B11" s="194" t="s">
        <v>105</v>
      </c>
      <c r="C11" s="195">
        <v>41346</v>
      </c>
      <c r="D11" s="195">
        <v>76445</v>
      </c>
      <c r="E11" s="195">
        <v>76324</v>
      </c>
      <c r="F11" s="195">
        <v>75288</v>
      </c>
      <c r="G11" s="195">
        <v>68554</v>
      </c>
      <c r="H11" s="195">
        <v>66740</v>
      </c>
      <c r="I11" s="212">
        <f>IFERROR(H11/G11-1,"-")</f>
        <v>-2.6460892143419734E-2</v>
      </c>
      <c r="J11" s="194">
        <f t="shared" si="1"/>
        <v>-1814</v>
      </c>
      <c r="K11" s="196">
        <f t="shared" si="2"/>
        <v>7.081617927931752E-2</v>
      </c>
      <c r="N11" s="194" t="s">
        <v>105</v>
      </c>
      <c r="O11" s="195">
        <v>2382</v>
      </c>
      <c r="P11" s="195">
        <v>3740</v>
      </c>
      <c r="Q11" s="195">
        <v>4748</v>
      </c>
      <c r="R11" s="195">
        <v>5235</v>
      </c>
      <c r="S11" s="195">
        <v>4717</v>
      </c>
      <c r="T11" s="195">
        <v>4320</v>
      </c>
      <c r="U11" s="212">
        <f>IFERROR(T11/S11-1,"-")</f>
        <v>-8.416366334534664E-2</v>
      </c>
      <c r="V11" s="194">
        <f t="shared" si="5"/>
        <v>-397</v>
      </c>
      <c r="W11" s="196">
        <f>T11/T$9</f>
        <v>0.10617120106171202</v>
      </c>
    </row>
    <row r="12" spans="1:23" x14ac:dyDescent="0.25">
      <c r="A12" s="1"/>
      <c r="B12" s="194" t="s">
        <v>102</v>
      </c>
      <c r="C12" s="195">
        <v>18108</v>
      </c>
      <c r="D12" s="195">
        <v>32602</v>
      </c>
      <c r="E12" s="195">
        <v>51680</v>
      </c>
      <c r="F12" s="195">
        <v>57820</v>
      </c>
      <c r="G12" s="195">
        <v>71608</v>
      </c>
      <c r="H12" s="195">
        <v>87452</v>
      </c>
      <c r="I12" s="212">
        <f>IFERROR(H12/G12-1,"-")</f>
        <v>0.22126019439168809</v>
      </c>
      <c r="J12" s="194">
        <f t="shared" si="1"/>
        <v>15844</v>
      </c>
      <c r="K12" s="196">
        <f t="shared" si="2"/>
        <v>9.2793175162344546E-2</v>
      </c>
      <c r="N12" s="194" t="s">
        <v>102</v>
      </c>
      <c r="O12" s="195">
        <v>483</v>
      </c>
      <c r="P12" s="195">
        <v>2306</v>
      </c>
      <c r="Q12" s="195">
        <v>1907</v>
      </c>
      <c r="R12" s="195">
        <v>2269</v>
      </c>
      <c r="S12" s="195">
        <v>1836</v>
      </c>
      <c r="T12" s="195">
        <v>3313</v>
      </c>
      <c r="U12" s="212">
        <f>IFERROR(T12/S12-1,"-")</f>
        <v>0.80446623093681913</v>
      </c>
      <c r="V12" s="194">
        <f t="shared" si="5"/>
        <v>1477</v>
      </c>
      <c r="W12" s="196">
        <f t="shared" si="4"/>
        <v>8.1422497480891642E-2</v>
      </c>
    </row>
    <row r="13" spans="1:23" s="74" customFormat="1" x14ac:dyDescent="0.25">
      <c r="B13" s="190" t="s">
        <v>109</v>
      </c>
      <c r="C13" s="191">
        <v>243697</v>
      </c>
      <c r="D13" s="191">
        <v>164510</v>
      </c>
      <c r="E13" s="191">
        <v>593822</v>
      </c>
      <c r="F13" s="191">
        <v>684047</v>
      </c>
      <c r="G13" s="191">
        <v>757432</v>
      </c>
      <c r="H13" s="191">
        <v>788248</v>
      </c>
      <c r="I13" s="211">
        <f>IFERROR(H13/G13-1,"-")</f>
        <v>4.0684840355305729E-2</v>
      </c>
      <c r="J13" s="190">
        <f t="shared" si="1"/>
        <v>30816</v>
      </c>
      <c r="K13" s="192">
        <f t="shared" si="2"/>
        <v>0.83639064555833798</v>
      </c>
      <c r="N13" s="190" t="s">
        <v>109</v>
      </c>
      <c r="O13" s="191">
        <v>13087</v>
      </c>
      <c r="P13" s="191">
        <v>6725</v>
      </c>
      <c r="Q13" s="191">
        <v>26496</v>
      </c>
      <c r="R13" s="191">
        <v>28758</v>
      </c>
      <c r="S13" s="191">
        <v>30951</v>
      </c>
      <c r="T13" s="191">
        <v>33056</v>
      </c>
      <c r="U13" s="211">
        <f>IFERROR(T13/S13-1,"-")</f>
        <v>6.8010726632419027E-2</v>
      </c>
      <c r="V13" s="190">
        <f t="shared" si="5"/>
        <v>2105</v>
      </c>
      <c r="W13" s="192">
        <f t="shared" si="4"/>
        <v>0.81240630145739634</v>
      </c>
    </row>
    <row r="14" spans="1:23" s="74" customFormat="1" x14ac:dyDescent="0.25">
      <c r="B14" s="194" t="s">
        <v>112</v>
      </c>
      <c r="C14" s="195">
        <v>101481</v>
      </c>
      <c r="D14" s="195">
        <v>37920</v>
      </c>
      <c r="E14" s="195">
        <v>292265</v>
      </c>
      <c r="F14" s="195">
        <v>357572</v>
      </c>
      <c r="G14" s="195">
        <v>411822</v>
      </c>
      <c r="H14" s="195">
        <v>430898</v>
      </c>
      <c r="I14" s="212">
        <f t="shared" ref="I14:I21" si="6">IFERROR(H14/G14-1,"-")</f>
        <v>4.6320983337461374E-2</v>
      </c>
      <c r="J14" s="194">
        <f t="shared" si="1"/>
        <v>19076</v>
      </c>
      <c r="K14" s="196">
        <f t="shared" si="2"/>
        <v>0.45721531344170452</v>
      </c>
      <c r="N14" s="194" t="s">
        <v>112</v>
      </c>
      <c r="O14" s="195">
        <v>6329</v>
      </c>
      <c r="P14" s="195">
        <v>1193</v>
      </c>
      <c r="Q14" s="195">
        <v>10268</v>
      </c>
      <c r="R14" s="195">
        <v>11443</v>
      </c>
      <c r="S14" s="195">
        <v>13604</v>
      </c>
      <c r="T14" s="195">
        <v>15559</v>
      </c>
      <c r="U14" s="212">
        <f t="shared" ref="U14:U21" si="7">IFERROR(T14/S14-1,"-")</f>
        <v>0.14370773301970008</v>
      </c>
      <c r="V14" s="194">
        <f t="shared" si="5"/>
        <v>1955</v>
      </c>
      <c r="W14" s="196">
        <f t="shared" si="4"/>
        <v>0.38238836049055025</v>
      </c>
    </row>
    <row r="15" spans="1:23" x14ac:dyDescent="0.25">
      <c r="A15" s="1"/>
      <c r="B15" s="194" t="s">
        <v>115</v>
      </c>
      <c r="C15" s="195">
        <v>18597</v>
      </c>
      <c r="D15" s="195">
        <v>13863</v>
      </c>
      <c r="E15" s="195">
        <v>32477</v>
      </c>
      <c r="F15" s="195">
        <v>34422</v>
      </c>
      <c r="G15" s="195">
        <v>38679</v>
      </c>
      <c r="H15" s="195">
        <v>40450</v>
      </c>
      <c r="I15" s="212">
        <f t="shared" si="6"/>
        <v>4.5787119625636752E-2</v>
      </c>
      <c r="J15" s="194">
        <f t="shared" si="1"/>
        <v>1771</v>
      </c>
      <c r="K15" s="196">
        <f t="shared" si="2"/>
        <v>4.2920504223080518E-2</v>
      </c>
      <c r="N15" s="194" t="s">
        <v>115</v>
      </c>
      <c r="O15" s="195">
        <v>720</v>
      </c>
      <c r="P15" s="195">
        <v>539</v>
      </c>
      <c r="Q15" s="195">
        <v>2056</v>
      </c>
      <c r="R15" s="195">
        <v>1799</v>
      </c>
      <c r="S15" s="195">
        <v>1872</v>
      </c>
      <c r="T15" s="195">
        <v>1915</v>
      </c>
      <c r="U15" s="212">
        <f t="shared" si="7"/>
        <v>2.2970085470085388E-2</v>
      </c>
      <c r="V15" s="194">
        <f t="shared" si="5"/>
        <v>43</v>
      </c>
      <c r="W15" s="196">
        <f t="shared" si="4"/>
        <v>4.7064317137309838E-2</v>
      </c>
    </row>
    <row r="16" spans="1:23" x14ac:dyDescent="0.25">
      <c r="A16" s="1"/>
      <c r="B16" s="194" t="s">
        <v>118</v>
      </c>
      <c r="C16" s="195">
        <v>7192</v>
      </c>
      <c r="D16" s="195">
        <v>15851</v>
      </c>
      <c r="E16" s="195">
        <v>22104</v>
      </c>
      <c r="F16" s="195">
        <v>29027</v>
      </c>
      <c r="G16" s="195">
        <v>28862</v>
      </c>
      <c r="H16" s="195">
        <v>29881</v>
      </c>
      <c r="I16" s="212">
        <f t="shared" si="6"/>
        <v>3.5305938604393239E-2</v>
      </c>
      <c r="J16" s="194">
        <f t="shared" si="1"/>
        <v>1019</v>
      </c>
      <c r="K16" s="196">
        <f t="shared" si="2"/>
        <v>3.170599719876066E-2</v>
      </c>
      <c r="N16" s="194" t="s">
        <v>118</v>
      </c>
      <c r="O16" s="195">
        <v>544</v>
      </c>
      <c r="P16" s="195">
        <v>1332</v>
      </c>
      <c r="Q16" s="195">
        <v>2880</v>
      </c>
      <c r="R16" s="195">
        <v>3182</v>
      </c>
      <c r="S16" s="195">
        <v>2917</v>
      </c>
      <c r="T16" s="195">
        <v>3130</v>
      </c>
      <c r="U16" s="212">
        <f t="shared" si="7"/>
        <v>7.3020226259856047E-2</v>
      </c>
      <c r="V16" s="194">
        <f t="shared" si="5"/>
        <v>213</v>
      </c>
      <c r="W16" s="196">
        <f t="shared" si="4"/>
        <v>7.6924967435916342E-2</v>
      </c>
    </row>
    <row r="17" spans="1:23" x14ac:dyDescent="0.25">
      <c r="A17" s="1"/>
      <c r="B17" s="194" t="s">
        <v>125</v>
      </c>
      <c r="C17" s="195">
        <v>10797</v>
      </c>
      <c r="D17" s="195">
        <v>12418</v>
      </c>
      <c r="E17" s="195">
        <v>37157</v>
      </c>
      <c r="F17" s="195">
        <v>35380</v>
      </c>
      <c r="G17" s="195">
        <v>35233</v>
      </c>
      <c r="H17" s="195">
        <v>32349</v>
      </c>
      <c r="I17" s="212">
        <f t="shared" si="6"/>
        <v>-8.1855079045213275E-2</v>
      </c>
      <c r="J17" s="194">
        <f t="shared" si="1"/>
        <v>-2884</v>
      </c>
      <c r="K17" s="196">
        <f t="shared" si="2"/>
        <v>3.4324731547896947E-2</v>
      </c>
      <c r="N17" s="194" t="s">
        <v>125</v>
      </c>
      <c r="O17" s="195">
        <v>374</v>
      </c>
      <c r="P17" s="195">
        <v>195</v>
      </c>
      <c r="Q17" s="195">
        <v>1374</v>
      </c>
      <c r="R17" s="195">
        <v>1142</v>
      </c>
      <c r="S17" s="195">
        <v>925</v>
      </c>
      <c r="T17" s="195">
        <v>1087</v>
      </c>
      <c r="U17" s="212">
        <f t="shared" si="7"/>
        <v>0.17513513513513512</v>
      </c>
      <c r="V17" s="194">
        <f t="shared" si="5"/>
        <v>162</v>
      </c>
      <c r="W17" s="196">
        <f t="shared" si="4"/>
        <v>2.6714836933815034E-2</v>
      </c>
    </row>
    <row r="18" spans="1:23" x14ac:dyDescent="0.25">
      <c r="A18" s="1"/>
      <c r="B18" s="194" t="s">
        <v>121</v>
      </c>
      <c r="C18" s="195">
        <v>5388</v>
      </c>
      <c r="D18" s="195">
        <v>5202</v>
      </c>
      <c r="E18" s="195">
        <v>11054</v>
      </c>
      <c r="F18" s="195">
        <v>11638</v>
      </c>
      <c r="G18" s="195">
        <v>12245</v>
      </c>
      <c r="H18" s="195">
        <v>11030</v>
      </c>
      <c r="I18" s="212">
        <f t="shared" si="6"/>
        <v>-9.9224173131890581E-2</v>
      </c>
      <c r="J18" s="194">
        <f t="shared" si="1"/>
        <v>-1215</v>
      </c>
      <c r="K18" s="196">
        <f t="shared" si="2"/>
        <v>1.1703662832647172E-2</v>
      </c>
      <c r="N18" s="194" t="s">
        <v>121</v>
      </c>
      <c r="O18" s="195">
        <v>221</v>
      </c>
      <c r="P18" s="195">
        <v>121</v>
      </c>
      <c r="Q18" s="195">
        <v>665</v>
      </c>
      <c r="R18" s="195">
        <v>550</v>
      </c>
      <c r="S18" s="195">
        <v>537</v>
      </c>
      <c r="T18" s="195">
        <v>599</v>
      </c>
      <c r="U18" s="212">
        <f t="shared" si="7"/>
        <v>0.11545623836126628</v>
      </c>
      <c r="V18" s="194">
        <f t="shared" si="5"/>
        <v>62</v>
      </c>
      <c r="W18" s="196">
        <f t="shared" si="4"/>
        <v>1.4721423480547568E-2</v>
      </c>
    </row>
    <row r="19" spans="1:23" x14ac:dyDescent="0.25">
      <c r="A19" s="193" t="s">
        <v>146</v>
      </c>
      <c r="B19" s="194" t="s">
        <v>130</v>
      </c>
      <c r="C19" s="195">
        <v>10413</v>
      </c>
      <c r="D19" s="195">
        <v>1773</v>
      </c>
      <c r="E19" s="195">
        <v>13218</v>
      </c>
      <c r="F19" s="195">
        <v>15473</v>
      </c>
      <c r="G19" s="195">
        <v>14129</v>
      </c>
      <c r="H19" s="195">
        <v>14395</v>
      </c>
      <c r="I19" s="212">
        <f t="shared" si="6"/>
        <v>1.882652700120313E-2</v>
      </c>
      <c r="J19" s="194">
        <f t="shared" si="1"/>
        <v>266</v>
      </c>
      <c r="K19" s="196">
        <f t="shared" si="2"/>
        <v>1.5274181910784772E-2</v>
      </c>
      <c r="N19" s="194" t="s">
        <v>130</v>
      </c>
      <c r="O19" s="195">
        <v>382</v>
      </c>
      <c r="P19" s="195">
        <v>31</v>
      </c>
      <c r="Q19" s="195">
        <v>241</v>
      </c>
      <c r="R19" s="195">
        <v>308</v>
      </c>
      <c r="S19" s="195">
        <v>194</v>
      </c>
      <c r="T19" s="195">
        <v>293</v>
      </c>
      <c r="U19" s="212">
        <f t="shared" si="7"/>
        <v>0.51030927835051543</v>
      </c>
      <c r="V19" s="194">
        <f t="shared" si="5"/>
        <v>99</v>
      </c>
      <c r="W19" s="196">
        <f t="shared" si="4"/>
        <v>7.200963405342967E-3</v>
      </c>
    </row>
    <row r="20" spans="1:23" x14ac:dyDescent="0.25">
      <c r="A20" s="198" t="s">
        <v>147</v>
      </c>
      <c r="B20" s="194" t="s">
        <v>133</v>
      </c>
      <c r="C20" s="195">
        <v>16060</v>
      </c>
      <c r="D20" s="195">
        <v>1520</v>
      </c>
      <c r="E20" s="195">
        <v>11008</v>
      </c>
      <c r="F20" s="195">
        <v>14875</v>
      </c>
      <c r="G20" s="195">
        <v>17005</v>
      </c>
      <c r="H20" s="195">
        <v>12302</v>
      </c>
      <c r="I20" s="212">
        <f t="shared" si="6"/>
        <v>-0.27656571596589241</v>
      </c>
      <c r="J20" s="194">
        <f t="shared" si="1"/>
        <v>-4703</v>
      </c>
      <c r="K20" s="196">
        <f t="shared" si="2"/>
        <v>1.3053350876448369E-2</v>
      </c>
      <c r="N20" s="194" t="s">
        <v>133</v>
      </c>
      <c r="O20" s="195">
        <v>656</v>
      </c>
      <c r="P20" s="195">
        <v>10</v>
      </c>
      <c r="Q20" s="195">
        <v>184</v>
      </c>
      <c r="R20" s="195">
        <v>312</v>
      </c>
      <c r="S20" s="195">
        <v>329</v>
      </c>
      <c r="T20" s="195">
        <v>304</v>
      </c>
      <c r="U20" s="212">
        <f t="shared" si="7"/>
        <v>-7.5987841945288737E-2</v>
      </c>
      <c r="V20" s="194">
        <f t="shared" si="5"/>
        <v>-25</v>
      </c>
      <c r="W20" s="196">
        <f t="shared" si="4"/>
        <v>7.4713067413797341E-3</v>
      </c>
    </row>
    <row r="21" spans="1:23" x14ac:dyDescent="0.25">
      <c r="B21" s="199" t="s">
        <v>147</v>
      </c>
      <c r="C21" s="200">
        <f t="shared" ref="C21" si="8">C13-SUM(C14:C20)</f>
        <v>73769</v>
      </c>
      <c r="D21" s="200">
        <f t="shared" ref="D21:H21" si="9">D13-SUM(D14:D20)</f>
        <v>75963</v>
      </c>
      <c r="E21" s="200">
        <f t="shared" si="9"/>
        <v>174539</v>
      </c>
      <c r="F21" s="200">
        <f t="shared" si="9"/>
        <v>185660</v>
      </c>
      <c r="G21" s="200">
        <f t="shared" si="9"/>
        <v>199457</v>
      </c>
      <c r="H21" s="200">
        <f t="shared" si="9"/>
        <v>216943</v>
      </c>
      <c r="I21" s="213">
        <f t="shared" si="6"/>
        <v>8.766801867069085E-2</v>
      </c>
      <c r="J21" s="199">
        <f t="shared" si="1"/>
        <v>17486</v>
      </c>
      <c r="K21" s="201">
        <f t="shared" si="2"/>
        <v>0.23019290352701499</v>
      </c>
      <c r="N21" s="199" t="s">
        <v>147</v>
      </c>
      <c r="O21" s="200">
        <f t="shared" ref="O21:T21" si="10">O13-SUM(O14:O20)</f>
        <v>3861</v>
      </c>
      <c r="P21" s="200">
        <f t="shared" si="10"/>
        <v>3304</v>
      </c>
      <c r="Q21" s="200">
        <f t="shared" si="10"/>
        <v>8828</v>
      </c>
      <c r="R21" s="200">
        <f t="shared" si="10"/>
        <v>10022</v>
      </c>
      <c r="S21" s="200">
        <f t="shared" si="10"/>
        <v>10573</v>
      </c>
      <c r="T21" s="200">
        <f t="shared" si="10"/>
        <v>10169</v>
      </c>
      <c r="U21" s="213">
        <f t="shared" si="7"/>
        <v>-3.8210536271635287E-2</v>
      </c>
      <c r="V21" s="199">
        <f>T21-S21</f>
        <v>-404</v>
      </c>
      <c r="W21" s="201">
        <f t="shared" si="4"/>
        <v>0.24992012583253459</v>
      </c>
    </row>
    <row r="22" spans="1:23" x14ac:dyDescent="0.25">
      <c r="B22" s="186" t="s">
        <v>46</v>
      </c>
      <c r="C22" s="184"/>
      <c r="D22" s="184"/>
      <c r="E22" s="184"/>
      <c r="F22" s="184"/>
      <c r="G22" s="184"/>
      <c r="H22" s="184"/>
      <c r="I22" s="185"/>
      <c r="J22" s="185"/>
      <c r="K22" s="184"/>
    </row>
    <row r="23" spans="1:23" x14ac:dyDescent="0.25">
      <c r="B23" s="187" t="s">
        <v>70</v>
      </c>
      <c r="C23" s="209">
        <f t="shared" ref="C23:H23" si="11">C24+C27</f>
        <v>81469</v>
      </c>
      <c r="D23" s="209">
        <f t="shared" si="11"/>
        <v>80158</v>
      </c>
      <c r="E23" s="209">
        <f t="shared" si="11"/>
        <v>190775</v>
      </c>
      <c r="F23" s="209">
        <f t="shared" si="11"/>
        <v>255103</v>
      </c>
      <c r="G23" s="209">
        <f t="shared" si="11"/>
        <v>269491</v>
      </c>
      <c r="H23" s="209">
        <f t="shared" si="11"/>
        <v>283122</v>
      </c>
      <c r="I23" s="210">
        <f>IFERROR(H23/G23-1,"-")</f>
        <v>5.0580538867717184E-2</v>
      </c>
      <c r="J23" s="209">
        <f>H23-G23</f>
        <v>13631</v>
      </c>
      <c r="K23" s="210">
        <f t="shared" ref="K23:K35" si="12">H23/H$9</f>
        <v>0.30041381944739187</v>
      </c>
    </row>
    <row r="24" spans="1:23" x14ac:dyDescent="0.25">
      <c r="B24" s="190" t="s">
        <v>99</v>
      </c>
      <c r="C24" s="191">
        <v>14523</v>
      </c>
      <c r="D24" s="191">
        <v>36406</v>
      </c>
      <c r="E24" s="191">
        <v>28134</v>
      </c>
      <c r="F24" s="191">
        <v>32334</v>
      </c>
      <c r="G24" s="191">
        <v>27615</v>
      </c>
      <c r="H24" s="191">
        <v>30228</v>
      </c>
      <c r="I24" s="211">
        <f>IFERROR(H24/G24-1,"-")</f>
        <v>9.4622487778381226E-2</v>
      </c>
      <c r="J24" s="190">
        <f t="shared" ref="J24:J34" si="13">H24-G24</f>
        <v>2613</v>
      </c>
      <c r="K24" s="192">
        <f t="shared" si="12"/>
        <v>3.2074190399388823E-2</v>
      </c>
    </row>
    <row r="25" spans="1:23" x14ac:dyDescent="0.25">
      <c r="B25" s="194" t="s">
        <v>105</v>
      </c>
      <c r="C25" s="195">
        <v>12553</v>
      </c>
      <c r="D25" s="195">
        <v>26806</v>
      </c>
      <c r="E25" s="195">
        <v>15790</v>
      </c>
      <c r="F25" s="195">
        <v>17325</v>
      </c>
      <c r="G25" s="195">
        <v>13907</v>
      </c>
      <c r="H25" s="195">
        <v>14524</v>
      </c>
      <c r="I25" s="212">
        <f>IFERROR(H25/G25-1,"-")</f>
        <v>4.4366146544905449E-2</v>
      </c>
      <c r="J25" s="194">
        <f t="shared" si="13"/>
        <v>617</v>
      </c>
      <c r="K25" s="196">
        <f t="shared" si="12"/>
        <v>1.541106065107593E-2</v>
      </c>
    </row>
    <row r="26" spans="1:23" x14ac:dyDescent="0.25">
      <c r="B26" s="194" t="s">
        <v>102</v>
      </c>
      <c r="C26" s="195">
        <v>1970</v>
      </c>
      <c r="D26" s="195">
        <v>9600</v>
      </c>
      <c r="E26" s="195">
        <v>12344</v>
      </c>
      <c r="F26" s="195">
        <v>15009</v>
      </c>
      <c r="G26" s="195">
        <v>13708</v>
      </c>
      <c r="H26" s="195">
        <v>15704</v>
      </c>
      <c r="I26" s="212">
        <f>IFERROR(H26/G26-1,"-")</f>
        <v>0.14560840385176532</v>
      </c>
      <c r="J26" s="194">
        <f t="shared" si="13"/>
        <v>1996</v>
      </c>
      <c r="K26" s="196">
        <f t="shared" si="12"/>
        <v>1.666312974831289E-2</v>
      </c>
    </row>
    <row r="27" spans="1:23" x14ac:dyDescent="0.25">
      <c r="B27" s="190" t="s">
        <v>109</v>
      </c>
      <c r="C27" s="191">
        <v>66946</v>
      </c>
      <c r="D27" s="191">
        <v>43752</v>
      </c>
      <c r="E27" s="191">
        <v>162641</v>
      </c>
      <c r="F27" s="191">
        <v>222769</v>
      </c>
      <c r="G27" s="191">
        <v>241876</v>
      </c>
      <c r="H27" s="191">
        <v>252894</v>
      </c>
      <c r="I27" s="211">
        <f>IFERROR(H27/G27-1,"-")</f>
        <v>4.5552266450578083E-2</v>
      </c>
      <c r="J27" s="190">
        <f t="shared" si="13"/>
        <v>11018</v>
      </c>
      <c r="K27" s="192">
        <f t="shared" si="12"/>
        <v>0.26833962904800307</v>
      </c>
    </row>
    <row r="28" spans="1:23" x14ac:dyDescent="0.25">
      <c r="B28" s="194" t="s">
        <v>112</v>
      </c>
      <c r="C28" s="195">
        <v>35287</v>
      </c>
      <c r="D28" s="195">
        <v>12733</v>
      </c>
      <c r="E28" s="195">
        <v>87103</v>
      </c>
      <c r="F28" s="195">
        <v>127768</v>
      </c>
      <c r="G28" s="195">
        <v>145501</v>
      </c>
      <c r="H28" s="195">
        <v>156539</v>
      </c>
      <c r="I28" s="212">
        <f t="shared" ref="I28:I35" si="14">IFERROR(H28/G28-1,"-")</f>
        <v>7.586202156686217E-2</v>
      </c>
      <c r="J28" s="194">
        <f t="shared" si="13"/>
        <v>11038</v>
      </c>
      <c r="K28" s="196">
        <f t="shared" si="12"/>
        <v>0.16609969865455626</v>
      </c>
    </row>
    <row r="29" spans="1:23" x14ac:dyDescent="0.25">
      <c r="B29" s="194" t="s">
        <v>115</v>
      </c>
      <c r="C29" s="195">
        <v>6060</v>
      </c>
      <c r="D29" s="195">
        <v>4650</v>
      </c>
      <c r="E29" s="195">
        <v>9589</v>
      </c>
      <c r="F29" s="195">
        <v>10642</v>
      </c>
      <c r="G29" s="195">
        <v>11584</v>
      </c>
      <c r="H29" s="195">
        <v>10842</v>
      </c>
      <c r="I29" s="212">
        <f t="shared" si="14"/>
        <v>-6.4053867403314868E-2</v>
      </c>
      <c r="J29" s="194">
        <f t="shared" si="13"/>
        <v>-742</v>
      </c>
      <c r="K29" s="196">
        <f t="shared" si="12"/>
        <v>1.1504180637494164E-2</v>
      </c>
    </row>
    <row r="30" spans="1:23" x14ac:dyDescent="0.25">
      <c r="B30" s="194" t="s">
        <v>118</v>
      </c>
      <c r="C30" s="195">
        <v>2310</v>
      </c>
      <c r="D30" s="195">
        <v>4529</v>
      </c>
      <c r="E30" s="195">
        <v>7384</v>
      </c>
      <c r="F30" s="195">
        <v>13162</v>
      </c>
      <c r="G30" s="195">
        <v>12260</v>
      </c>
      <c r="H30" s="195">
        <v>8697</v>
      </c>
      <c r="I30" s="212">
        <f t="shared" si="14"/>
        <v>-0.29061990212071775</v>
      </c>
      <c r="J30" s="194">
        <f t="shared" si="13"/>
        <v>-3563</v>
      </c>
      <c r="K30" s="196">
        <f t="shared" si="12"/>
        <v>9.2281736768388446E-3</v>
      </c>
    </row>
    <row r="31" spans="1:23" x14ac:dyDescent="0.25">
      <c r="B31" s="194" t="s">
        <v>125</v>
      </c>
      <c r="C31" s="195">
        <v>2594</v>
      </c>
      <c r="D31" s="195">
        <v>2726</v>
      </c>
      <c r="E31" s="195">
        <v>9242</v>
      </c>
      <c r="F31" s="195">
        <v>10119</v>
      </c>
      <c r="G31" s="195">
        <v>7745</v>
      </c>
      <c r="H31" s="195">
        <v>7362</v>
      </c>
      <c r="I31" s="212">
        <f t="shared" si="14"/>
        <v>-4.9451258876694659E-2</v>
      </c>
      <c r="J31" s="194">
        <f t="shared" si="13"/>
        <v>-383</v>
      </c>
      <c r="K31" s="196">
        <f t="shared" si="12"/>
        <v>7.8116378761512667E-3</v>
      </c>
    </row>
    <row r="32" spans="1:23" x14ac:dyDescent="0.25">
      <c r="B32" s="194" t="s">
        <v>121</v>
      </c>
      <c r="C32" s="195">
        <v>1704</v>
      </c>
      <c r="D32" s="195">
        <v>1874</v>
      </c>
      <c r="E32" s="195">
        <v>3655</v>
      </c>
      <c r="F32" s="195">
        <v>3957</v>
      </c>
      <c r="G32" s="195">
        <v>3859</v>
      </c>
      <c r="H32" s="195">
        <v>3273</v>
      </c>
      <c r="I32" s="212">
        <f t="shared" si="14"/>
        <v>-0.15185281160922515</v>
      </c>
      <c r="J32" s="194">
        <f t="shared" si="13"/>
        <v>-586</v>
      </c>
      <c r="K32" s="196">
        <f t="shared" si="12"/>
        <v>3.4729001315733626E-3</v>
      </c>
    </row>
    <row r="33" spans="2:11" x14ac:dyDescent="0.25">
      <c r="B33" s="194" t="s">
        <v>130</v>
      </c>
      <c r="C33" s="195">
        <v>1994</v>
      </c>
      <c r="D33" s="195">
        <v>130</v>
      </c>
      <c r="E33" s="195">
        <v>1623</v>
      </c>
      <c r="F33" s="195">
        <v>2475</v>
      </c>
      <c r="G33" s="195">
        <v>1946</v>
      </c>
      <c r="H33" s="195">
        <v>2267</v>
      </c>
      <c r="I33" s="212">
        <f t="shared" si="14"/>
        <v>0.16495375128468659</v>
      </c>
      <c r="J33" s="194">
        <f t="shared" si="13"/>
        <v>321</v>
      </c>
      <c r="K33" s="196">
        <f t="shared" si="12"/>
        <v>2.4054581724035481E-3</v>
      </c>
    </row>
    <row r="34" spans="2:11" x14ac:dyDescent="0.25">
      <c r="B34" s="194" t="s">
        <v>133</v>
      </c>
      <c r="C34" s="195">
        <v>1709</v>
      </c>
      <c r="D34" s="195">
        <v>184</v>
      </c>
      <c r="E34" s="195">
        <v>919</v>
      </c>
      <c r="F34" s="195">
        <v>2007</v>
      </c>
      <c r="G34" s="195">
        <v>2239</v>
      </c>
      <c r="H34" s="195">
        <v>1264</v>
      </c>
      <c r="I34" s="212">
        <f t="shared" si="14"/>
        <v>-0.43546225993747212</v>
      </c>
      <c r="J34" s="194">
        <f t="shared" si="13"/>
        <v>-975</v>
      </c>
      <c r="K34" s="196">
        <f t="shared" si="12"/>
        <v>1.3411994397521327E-3</v>
      </c>
    </row>
    <row r="35" spans="2:11" x14ac:dyDescent="0.25">
      <c r="B35" s="199" t="s">
        <v>147</v>
      </c>
      <c r="C35" s="200">
        <f t="shared" ref="C35" si="15">C27-SUM(C28:C34)</f>
        <v>15288</v>
      </c>
      <c r="D35" s="200">
        <f t="shared" ref="D35:H35" si="16">D27-SUM(D28:D34)</f>
        <v>16926</v>
      </c>
      <c r="E35" s="200">
        <f t="shared" si="16"/>
        <v>43126</v>
      </c>
      <c r="F35" s="200">
        <f t="shared" si="16"/>
        <v>52639</v>
      </c>
      <c r="G35" s="200">
        <f t="shared" si="16"/>
        <v>56742</v>
      </c>
      <c r="H35" s="200">
        <f t="shared" si="16"/>
        <v>62650</v>
      </c>
      <c r="I35" s="213">
        <f t="shared" si="14"/>
        <v>0.10412040463853933</v>
      </c>
      <c r="J35" s="199">
        <f>H35-G35</f>
        <v>5908</v>
      </c>
      <c r="K35" s="201">
        <f t="shared" si="12"/>
        <v>6.6476380459233472E-2</v>
      </c>
    </row>
    <row r="36" spans="2:11" x14ac:dyDescent="0.25">
      <c r="B36" s="186" t="s">
        <v>47</v>
      </c>
      <c r="C36" s="184"/>
      <c r="D36" s="184"/>
      <c r="E36" s="184"/>
      <c r="F36" s="184"/>
      <c r="G36" s="184"/>
      <c r="H36" s="184"/>
      <c r="I36" s="185"/>
      <c r="J36" s="185"/>
      <c r="K36" s="184"/>
    </row>
    <row r="37" spans="2:11" x14ac:dyDescent="0.25">
      <c r="B37" s="187" t="s">
        <v>70</v>
      </c>
      <c r="C37" s="209">
        <f t="shared" ref="C37:H37" si="17">C38+C41</f>
        <v>128188</v>
      </c>
      <c r="D37" s="209">
        <f t="shared" si="17"/>
        <v>130800</v>
      </c>
      <c r="E37" s="209">
        <f t="shared" si="17"/>
        <v>367054</v>
      </c>
      <c r="F37" s="209">
        <f t="shared" si="17"/>
        <v>376530</v>
      </c>
      <c r="G37" s="209">
        <f t="shared" si="17"/>
        <v>394071</v>
      </c>
      <c r="H37" s="209">
        <f t="shared" si="17"/>
        <v>407754</v>
      </c>
      <c r="I37" s="210">
        <f>IFERROR(H37/G37-1,"-")</f>
        <v>3.4722169355268395E-2</v>
      </c>
      <c r="J37" s="209">
        <f>H37-G37</f>
        <v>13683</v>
      </c>
      <c r="K37" s="210">
        <f t="shared" ref="K37:K49" si="18">H37/H$9</f>
        <v>0.432657781927762</v>
      </c>
    </row>
    <row r="38" spans="2:11" x14ac:dyDescent="0.25">
      <c r="B38" s="190" t="s">
        <v>99</v>
      </c>
      <c r="C38" s="191">
        <v>16968</v>
      </c>
      <c r="D38" s="191">
        <v>36998</v>
      </c>
      <c r="E38" s="191">
        <v>34751</v>
      </c>
      <c r="F38" s="191">
        <v>31088</v>
      </c>
      <c r="G38" s="191">
        <v>27628</v>
      </c>
      <c r="H38" s="191">
        <v>30586</v>
      </c>
      <c r="I38" s="211">
        <f>IFERROR(H38/G38-1,"-")</f>
        <v>0.10706529607644422</v>
      </c>
      <c r="J38" s="190">
        <f t="shared" ref="J38:J48" si="19">H38-G38</f>
        <v>2958</v>
      </c>
      <c r="K38" s="192">
        <f t="shared" si="18"/>
        <v>3.2454055430584439E-2</v>
      </c>
    </row>
    <row r="39" spans="2:11" x14ac:dyDescent="0.25">
      <c r="B39" s="194" t="s">
        <v>105</v>
      </c>
      <c r="C39" s="195">
        <v>12932</v>
      </c>
      <c r="D39" s="195">
        <v>29778</v>
      </c>
      <c r="E39" s="195">
        <v>26190</v>
      </c>
      <c r="F39" s="195">
        <v>19276</v>
      </c>
      <c r="G39" s="195">
        <v>15736</v>
      </c>
      <c r="H39" s="195">
        <v>17306</v>
      </c>
      <c r="I39" s="212">
        <f>IFERROR(H39/G39-1,"-")</f>
        <v>9.9771225216065185E-2</v>
      </c>
      <c r="J39" s="194">
        <f t="shared" si="19"/>
        <v>1570</v>
      </c>
      <c r="K39" s="196">
        <f t="shared" si="18"/>
        <v>1.8362972709137983E-2</v>
      </c>
    </row>
    <row r="40" spans="2:11" x14ac:dyDescent="0.25">
      <c r="B40" s="194" t="s">
        <v>102</v>
      </c>
      <c r="C40" s="195">
        <v>4036</v>
      </c>
      <c r="D40" s="195">
        <v>7220</v>
      </c>
      <c r="E40" s="195">
        <v>8561</v>
      </c>
      <c r="F40" s="195">
        <v>11812</v>
      </c>
      <c r="G40" s="195">
        <v>11892</v>
      </c>
      <c r="H40" s="195">
        <v>13280</v>
      </c>
      <c r="I40" s="212">
        <f>IFERROR(H40/G40-1,"-")</f>
        <v>0.11671712075344765</v>
      </c>
      <c r="J40" s="194">
        <f t="shared" si="19"/>
        <v>1388</v>
      </c>
      <c r="K40" s="196">
        <f t="shared" si="18"/>
        <v>1.4091082721446458E-2</v>
      </c>
    </row>
    <row r="41" spans="2:11" x14ac:dyDescent="0.25">
      <c r="B41" s="190" t="s">
        <v>109</v>
      </c>
      <c r="C41" s="191">
        <v>111220</v>
      </c>
      <c r="D41" s="191">
        <v>93802</v>
      </c>
      <c r="E41" s="191">
        <v>332303</v>
      </c>
      <c r="F41" s="191">
        <v>345442</v>
      </c>
      <c r="G41" s="191">
        <v>366443</v>
      </c>
      <c r="H41" s="191">
        <v>377168</v>
      </c>
      <c r="I41" s="211">
        <f>IFERROR(H41/G41-1,"-")</f>
        <v>2.9267853390568144E-2</v>
      </c>
      <c r="J41" s="190">
        <f t="shared" si="19"/>
        <v>10725</v>
      </c>
      <c r="K41" s="192">
        <f t="shared" si="18"/>
        <v>0.40020372649717756</v>
      </c>
    </row>
    <row r="42" spans="2:11" x14ac:dyDescent="0.25">
      <c r="B42" s="194" t="s">
        <v>112</v>
      </c>
      <c r="C42" s="195">
        <v>44612</v>
      </c>
      <c r="D42" s="195">
        <v>21808</v>
      </c>
      <c r="E42" s="195">
        <v>175774</v>
      </c>
      <c r="F42" s="195">
        <v>195891</v>
      </c>
      <c r="G42" s="195">
        <v>208977</v>
      </c>
      <c r="H42" s="195">
        <v>215217</v>
      </c>
      <c r="I42" s="212">
        <f t="shared" ref="I42:I49" si="20">IFERROR(H42/G42-1,"-")</f>
        <v>2.9859745330825804E-2</v>
      </c>
      <c r="J42" s="194">
        <f t="shared" si="19"/>
        <v>6240</v>
      </c>
      <c r="K42" s="196">
        <f t="shared" si="18"/>
        <v>0.22836148720342939</v>
      </c>
    </row>
    <row r="43" spans="2:11" x14ac:dyDescent="0.25">
      <c r="B43" s="194" t="s">
        <v>115</v>
      </c>
      <c r="C43" s="195">
        <v>3745</v>
      </c>
      <c r="D43" s="195">
        <v>4370</v>
      </c>
      <c r="E43" s="195">
        <v>7928</v>
      </c>
      <c r="F43" s="195">
        <v>7930</v>
      </c>
      <c r="G43" s="195">
        <v>8733</v>
      </c>
      <c r="H43" s="195">
        <v>10433</v>
      </c>
      <c r="I43" s="212">
        <f t="shared" si="20"/>
        <v>0.19466391847017062</v>
      </c>
      <c r="J43" s="194">
        <f t="shared" si="19"/>
        <v>1700</v>
      </c>
      <c r="K43" s="196">
        <f t="shared" si="18"/>
        <v>1.107020075548576E-2</v>
      </c>
    </row>
    <row r="44" spans="2:11" x14ac:dyDescent="0.25">
      <c r="B44" s="194" t="s">
        <v>118</v>
      </c>
      <c r="C44" s="195">
        <v>2314</v>
      </c>
      <c r="D44" s="195">
        <v>7284</v>
      </c>
      <c r="E44" s="195">
        <v>7035</v>
      </c>
      <c r="F44" s="195">
        <v>6843</v>
      </c>
      <c r="G44" s="195">
        <v>7247</v>
      </c>
      <c r="H44" s="195">
        <v>7721</v>
      </c>
      <c r="I44" s="212">
        <f t="shared" si="20"/>
        <v>6.5406375051745513E-2</v>
      </c>
      <c r="J44" s="194">
        <f t="shared" si="19"/>
        <v>474</v>
      </c>
      <c r="K44" s="196">
        <f t="shared" si="18"/>
        <v>8.1925639828530194E-3</v>
      </c>
    </row>
    <row r="45" spans="2:11" x14ac:dyDescent="0.25">
      <c r="B45" s="194" t="s">
        <v>125</v>
      </c>
      <c r="C45" s="195">
        <v>5985</v>
      </c>
      <c r="D45" s="195">
        <v>8336</v>
      </c>
      <c r="E45" s="195">
        <v>21454</v>
      </c>
      <c r="F45" s="195">
        <v>19289</v>
      </c>
      <c r="G45" s="195">
        <v>19581</v>
      </c>
      <c r="H45" s="195">
        <v>18207</v>
      </c>
      <c r="I45" s="212">
        <f t="shared" si="20"/>
        <v>-7.0170062815995138E-2</v>
      </c>
      <c r="J45" s="194">
        <f t="shared" si="19"/>
        <v>-1374</v>
      </c>
      <c r="K45" s="196">
        <f t="shared" si="18"/>
        <v>1.9319001740163828E-2</v>
      </c>
    </row>
    <row r="46" spans="2:11" x14ac:dyDescent="0.25">
      <c r="B46" s="194" t="s">
        <v>121</v>
      </c>
      <c r="C46" s="195">
        <v>2351</v>
      </c>
      <c r="D46" s="195">
        <v>2820</v>
      </c>
      <c r="E46" s="195">
        <v>5580</v>
      </c>
      <c r="F46" s="195">
        <v>5813</v>
      </c>
      <c r="G46" s="195">
        <v>6392</v>
      </c>
      <c r="H46" s="195">
        <v>6003</v>
      </c>
      <c r="I46" s="212">
        <f t="shared" si="20"/>
        <v>-6.0857321652065033E-2</v>
      </c>
      <c r="J46" s="194">
        <f t="shared" si="19"/>
        <v>-389</v>
      </c>
      <c r="K46" s="196">
        <f t="shared" si="18"/>
        <v>6.3696362633164976E-3</v>
      </c>
    </row>
    <row r="47" spans="2:11" x14ac:dyDescent="0.25">
      <c r="B47" s="194" t="s">
        <v>130</v>
      </c>
      <c r="C47" s="195">
        <v>6283</v>
      </c>
      <c r="D47" s="195">
        <v>1321</v>
      </c>
      <c r="E47" s="195">
        <v>8842</v>
      </c>
      <c r="F47" s="195">
        <v>9305</v>
      </c>
      <c r="G47" s="195">
        <v>8982</v>
      </c>
      <c r="H47" s="195">
        <v>8147</v>
      </c>
      <c r="I47" s="212">
        <f t="shared" si="20"/>
        <v>-9.2963705188154111E-2</v>
      </c>
      <c r="J47" s="194">
        <f t="shared" si="19"/>
        <v>-835</v>
      </c>
      <c r="K47" s="196">
        <f t="shared" si="18"/>
        <v>8.6445821484656855E-3</v>
      </c>
    </row>
    <row r="48" spans="2:11" x14ac:dyDescent="0.25">
      <c r="B48" s="194" t="s">
        <v>133</v>
      </c>
      <c r="C48" s="195">
        <v>10653</v>
      </c>
      <c r="D48" s="195">
        <v>1052</v>
      </c>
      <c r="E48" s="195">
        <v>7799</v>
      </c>
      <c r="F48" s="195">
        <v>9027</v>
      </c>
      <c r="G48" s="195">
        <v>9633</v>
      </c>
      <c r="H48" s="195">
        <v>7092</v>
      </c>
      <c r="I48" s="212">
        <f t="shared" si="20"/>
        <v>-0.26378075365929621</v>
      </c>
      <c r="J48" s="194">
        <f t="shared" si="19"/>
        <v>-2541</v>
      </c>
      <c r="K48" s="196">
        <f t="shared" si="18"/>
        <v>7.5251474894953525E-3</v>
      </c>
    </row>
    <row r="49" spans="2:11" x14ac:dyDescent="0.25">
      <c r="B49" s="199" t="s">
        <v>147</v>
      </c>
      <c r="C49" s="200">
        <f t="shared" ref="C49" si="21">C41-SUM(C42:C48)</f>
        <v>35277</v>
      </c>
      <c r="D49" s="200">
        <f t="shared" ref="D49:H49" si="22">D41-SUM(D42:D48)</f>
        <v>46811</v>
      </c>
      <c r="E49" s="200">
        <f t="shared" si="22"/>
        <v>97891</v>
      </c>
      <c r="F49" s="200">
        <f t="shared" si="22"/>
        <v>91344</v>
      </c>
      <c r="G49" s="200">
        <f t="shared" si="22"/>
        <v>96898</v>
      </c>
      <c r="H49" s="200">
        <f t="shared" si="22"/>
        <v>104348</v>
      </c>
      <c r="I49" s="213">
        <f t="shared" si="20"/>
        <v>7.6884971826043813E-2</v>
      </c>
      <c r="J49" s="199">
        <f>H49-G49</f>
        <v>7450</v>
      </c>
      <c r="K49" s="201">
        <f t="shared" si="18"/>
        <v>0.110721106913968</v>
      </c>
    </row>
    <row r="50" spans="2:11" x14ac:dyDescent="0.25">
      <c r="B50" s="186" t="s">
        <v>48</v>
      </c>
      <c r="C50" s="184"/>
      <c r="D50" s="184"/>
      <c r="E50" s="184"/>
      <c r="F50" s="184"/>
      <c r="G50" s="184"/>
      <c r="H50" s="184"/>
      <c r="I50" s="185"/>
      <c r="J50" s="185"/>
      <c r="K50" s="184"/>
    </row>
    <row r="51" spans="2:11" x14ac:dyDescent="0.25">
      <c r="B51" s="187" t="s">
        <v>70</v>
      </c>
      <c r="C51" s="209">
        <f t="shared" ref="C51:H51" si="23">IFERROR(C52+C55,"nd")</f>
        <v>1878</v>
      </c>
      <c r="D51" s="209">
        <f t="shared" si="23"/>
        <v>0</v>
      </c>
      <c r="E51" s="209">
        <f t="shared" si="23"/>
        <v>0</v>
      </c>
      <c r="F51" s="209">
        <f t="shared" si="23"/>
        <v>0</v>
      </c>
      <c r="G51" s="209">
        <f t="shared" si="23"/>
        <v>0</v>
      </c>
      <c r="H51" s="209">
        <f t="shared" si="23"/>
        <v>0</v>
      </c>
      <c r="I51" s="210" t="str">
        <f>IFERROR(H51/G51-1,"-")</f>
        <v>-</v>
      </c>
      <c r="J51" s="209">
        <f>H51-G51</f>
        <v>0</v>
      </c>
      <c r="K51" s="210">
        <f t="shared" ref="K51:K63" si="24">H51/H$9</f>
        <v>0</v>
      </c>
    </row>
    <row r="52" spans="2:11" x14ac:dyDescent="0.25">
      <c r="B52" s="190" t="s">
        <v>99</v>
      </c>
      <c r="C52" s="191">
        <v>350</v>
      </c>
      <c r="D52" s="191">
        <v>0</v>
      </c>
      <c r="E52" s="191">
        <v>0</v>
      </c>
      <c r="F52" s="191">
        <v>0</v>
      </c>
      <c r="G52" s="191">
        <v>0</v>
      </c>
      <c r="H52" s="191">
        <v>0</v>
      </c>
      <c r="I52" s="211" t="str">
        <f>IFERROR(H52/G52-1,"-")</f>
        <v>-</v>
      </c>
      <c r="J52" s="190">
        <f t="shared" ref="J52:J62" si="25">H52-G52</f>
        <v>0</v>
      </c>
      <c r="K52" s="192">
        <f t="shared" si="24"/>
        <v>0</v>
      </c>
    </row>
    <row r="53" spans="2:11" x14ac:dyDescent="0.25">
      <c r="B53" s="194" t="s">
        <v>105</v>
      </c>
      <c r="C53" s="195">
        <v>171</v>
      </c>
      <c r="D53" s="195">
        <v>0</v>
      </c>
      <c r="E53" s="195">
        <v>0</v>
      </c>
      <c r="F53" s="195">
        <v>0</v>
      </c>
      <c r="G53" s="195">
        <v>0</v>
      </c>
      <c r="H53" s="195">
        <v>0</v>
      </c>
      <c r="I53" s="212" t="str">
        <f>IFERROR(H53/G53-1,"-")</f>
        <v>-</v>
      </c>
      <c r="J53" s="194">
        <f t="shared" si="25"/>
        <v>0</v>
      </c>
      <c r="K53" s="196">
        <f t="shared" si="24"/>
        <v>0</v>
      </c>
    </row>
    <row r="54" spans="2:11" x14ac:dyDescent="0.25">
      <c r="B54" s="194" t="s">
        <v>102</v>
      </c>
      <c r="C54" s="195">
        <v>179</v>
      </c>
      <c r="D54" s="195">
        <v>0</v>
      </c>
      <c r="E54" s="195">
        <v>0</v>
      </c>
      <c r="F54" s="195">
        <v>0</v>
      </c>
      <c r="G54" s="195">
        <v>0</v>
      </c>
      <c r="H54" s="195">
        <v>0</v>
      </c>
      <c r="I54" s="212" t="str">
        <f>IFERROR(H54/G54-1,"-")</f>
        <v>-</v>
      </c>
      <c r="J54" s="194">
        <f t="shared" si="25"/>
        <v>0</v>
      </c>
      <c r="K54" s="196">
        <f t="shared" si="24"/>
        <v>0</v>
      </c>
    </row>
    <row r="55" spans="2:11" x14ac:dyDescent="0.25">
      <c r="B55" s="190" t="s">
        <v>109</v>
      </c>
      <c r="C55" s="191">
        <v>1528</v>
      </c>
      <c r="D55" s="191">
        <v>0</v>
      </c>
      <c r="E55" s="191">
        <v>0</v>
      </c>
      <c r="F55" s="191">
        <v>0</v>
      </c>
      <c r="G55" s="191">
        <v>0</v>
      </c>
      <c r="H55" s="191">
        <v>0</v>
      </c>
      <c r="I55" s="211" t="str">
        <f>IFERROR(H55/G55-1,"-")</f>
        <v>-</v>
      </c>
      <c r="J55" s="190">
        <f t="shared" si="25"/>
        <v>0</v>
      </c>
      <c r="K55" s="192">
        <f t="shared" si="24"/>
        <v>0</v>
      </c>
    </row>
    <row r="56" spans="2:11" x14ac:dyDescent="0.25">
      <c r="B56" s="194" t="s">
        <v>112</v>
      </c>
      <c r="C56" s="195">
        <v>596</v>
      </c>
      <c r="D56" s="195">
        <v>0</v>
      </c>
      <c r="E56" s="195">
        <v>0</v>
      </c>
      <c r="F56" s="195">
        <v>0</v>
      </c>
      <c r="G56" s="195">
        <v>0</v>
      </c>
      <c r="H56" s="195">
        <v>0</v>
      </c>
      <c r="I56" s="212" t="str">
        <f t="shared" ref="I56:I63" si="26">IFERROR(H56/G56-1,"-")</f>
        <v>-</v>
      </c>
      <c r="J56" s="194">
        <f t="shared" si="25"/>
        <v>0</v>
      </c>
      <c r="K56" s="196">
        <f t="shared" si="24"/>
        <v>0</v>
      </c>
    </row>
    <row r="57" spans="2:11" x14ac:dyDescent="0.25">
      <c r="B57" s="194" t="s">
        <v>115</v>
      </c>
      <c r="C57" s="195">
        <v>89</v>
      </c>
      <c r="D57" s="195">
        <v>0</v>
      </c>
      <c r="E57" s="195">
        <v>0</v>
      </c>
      <c r="F57" s="195">
        <v>0</v>
      </c>
      <c r="G57" s="195">
        <v>0</v>
      </c>
      <c r="H57" s="195">
        <v>0</v>
      </c>
      <c r="I57" s="212" t="str">
        <f t="shared" si="26"/>
        <v>-</v>
      </c>
      <c r="J57" s="194">
        <f t="shared" si="25"/>
        <v>0</v>
      </c>
      <c r="K57" s="196">
        <f t="shared" si="24"/>
        <v>0</v>
      </c>
    </row>
    <row r="58" spans="2:11" x14ac:dyDescent="0.25">
      <c r="B58" s="194" t="s">
        <v>118</v>
      </c>
      <c r="C58" s="195">
        <v>56</v>
      </c>
      <c r="D58" s="195">
        <v>0</v>
      </c>
      <c r="E58" s="195">
        <v>0</v>
      </c>
      <c r="F58" s="195">
        <v>0</v>
      </c>
      <c r="G58" s="195">
        <v>0</v>
      </c>
      <c r="H58" s="195">
        <v>0</v>
      </c>
      <c r="I58" s="212" t="str">
        <f t="shared" si="26"/>
        <v>-</v>
      </c>
      <c r="J58" s="194">
        <f t="shared" si="25"/>
        <v>0</v>
      </c>
      <c r="K58" s="196">
        <f t="shared" si="24"/>
        <v>0</v>
      </c>
    </row>
    <row r="59" spans="2:11" x14ac:dyDescent="0.25">
      <c r="B59" s="194" t="s">
        <v>125</v>
      </c>
      <c r="C59" s="195">
        <v>13</v>
      </c>
      <c r="D59" s="195">
        <v>0</v>
      </c>
      <c r="E59" s="195">
        <v>0</v>
      </c>
      <c r="F59" s="195">
        <v>0</v>
      </c>
      <c r="G59" s="195">
        <v>0</v>
      </c>
      <c r="H59" s="195">
        <v>0</v>
      </c>
      <c r="I59" s="212" t="str">
        <f t="shared" si="26"/>
        <v>-</v>
      </c>
      <c r="J59" s="194">
        <f t="shared" si="25"/>
        <v>0</v>
      </c>
      <c r="K59" s="196">
        <f t="shared" si="24"/>
        <v>0</v>
      </c>
    </row>
    <row r="60" spans="2:11" x14ac:dyDescent="0.25">
      <c r="B60" s="194" t="s">
        <v>121</v>
      </c>
      <c r="C60" s="195">
        <v>52</v>
      </c>
      <c r="D60" s="195">
        <v>0</v>
      </c>
      <c r="E60" s="195">
        <v>0</v>
      </c>
      <c r="F60" s="195">
        <v>0</v>
      </c>
      <c r="G60" s="195">
        <v>0</v>
      </c>
      <c r="H60" s="195">
        <v>0</v>
      </c>
      <c r="I60" s="212" t="str">
        <f t="shared" si="26"/>
        <v>-</v>
      </c>
      <c r="J60" s="194">
        <f t="shared" si="25"/>
        <v>0</v>
      </c>
      <c r="K60" s="196">
        <f t="shared" si="24"/>
        <v>0</v>
      </c>
    </row>
    <row r="61" spans="2:11" x14ac:dyDescent="0.25">
      <c r="B61" s="194" t="s">
        <v>130</v>
      </c>
      <c r="C61" s="195">
        <v>60</v>
      </c>
      <c r="D61" s="195">
        <v>0</v>
      </c>
      <c r="E61" s="195">
        <v>0</v>
      </c>
      <c r="F61" s="195">
        <v>0</v>
      </c>
      <c r="G61" s="195">
        <v>0</v>
      </c>
      <c r="H61" s="195">
        <v>0</v>
      </c>
      <c r="I61" s="212" t="str">
        <f t="shared" si="26"/>
        <v>-</v>
      </c>
      <c r="J61" s="194">
        <f t="shared" si="25"/>
        <v>0</v>
      </c>
      <c r="K61" s="196">
        <f t="shared" si="24"/>
        <v>0</v>
      </c>
    </row>
    <row r="62" spans="2:11" x14ac:dyDescent="0.25">
      <c r="B62" s="194" t="s">
        <v>133</v>
      </c>
      <c r="C62" s="195">
        <v>96</v>
      </c>
      <c r="D62" s="195">
        <v>0</v>
      </c>
      <c r="E62" s="195">
        <v>0</v>
      </c>
      <c r="F62" s="195">
        <v>0</v>
      </c>
      <c r="G62" s="195">
        <v>0</v>
      </c>
      <c r="H62" s="195">
        <v>0</v>
      </c>
      <c r="I62" s="212" t="str">
        <f t="shared" si="26"/>
        <v>-</v>
      </c>
      <c r="J62" s="194">
        <f t="shared" si="25"/>
        <v>0</v>
      </c>
      <c r="K62" s="196">
        <f t="shared" si="24"/>
        <v>0</v>
      </c>
    </row>
    <row r="63" spans="2:11" x14ac:dyDescent="0.25">
      <c r="B63" s="199" t="s">
        <v>147</v>
      </c>
      <c r="C63" s="200">
        <f t="shared" ref="C63:H63" si="27">IFERROR(C55-SUM(C56:C62),"nd")</f>
        <v>566</v>
      </c>
      <c r="D63" s="200">
        <f t="shared" si="27"/>
        <v>0</v>
      </c>
      <c r="E63" s="200">
        <f t="shared" si="27"/>
        <v>0</v>
      </c>
      <c r="F63" s="200">
        <f t="shared" si="27"/>
        <v>0</v>
      </c>
      <c r="G63" s="200">
        <f t="shared" si="27"/>
        <v>0</v>
      </c>
      <c r="H63" s="200">
        <f t="shared" si="27"/>
        <v>0</v>
      </c>
      <c r="I63" s="213" t="str">
        <f t="shared" si="26"/>
        <v>-</v>
      </c>
      <c r="J63" s="199">
        <f>H63-G63</f>
        <v>0</v>
      </c>
      <c r="K63" s="201">
        <f t="shared" si="24"/>
        <v>0</v>
      </c>
    </row>
    <row r="64" spans="2:11" x14ac:dyDescent="0.25">
      <c r="B64" s="186" t="s">
        <v>49</v>
      </c>
      <c r="C64" s="184"/>
      <c r="D64" s="184"/>
      <c r="E64" s="184"/>
      <c r="F64" s="184"/>
      <c r="G64" s="184"/>
      <c r="H64" s="184"/>
      <c r="I64" s="185"/>
      <c r="J64" s="185"/>
      <c r="K64" s="184"/>
    </row>
    <row r="65" spans="2:11" x14ac:dyDescent="0.25">
      <c r="B65" s="187" t="s">
        <v>70</v>
      </c>
      <c r="C65" s="209" t="str">
        <f t="shared" ref="C65:H65" si="28">IFERROR(C66+C69,"nd")</f>
        <v>nd</v>
      </c>
      <c r="D65" s="209" t="str">
        <f t="shared" si="28"/>
        <v>nd</v>
      </c>
      <c r="E65" s="209" t="str">
        <f t="shared" si="28"/>
        <v>nd</v>
      </c>
      <c r="F65" s="209" t="str">
        <f t="shared" si="28"/>
        <v>nd</v>
      </c>
      <c r="G65" s="209" t="str">
        <f t="shared" si="28"/>
        <v>nd</v>
      </c>
      <c r="H65" s="209" t="str">
        <f t="shared" si="28"/>
        <v>nd</v>
      </c>
      <c r="I65" s="210" t="str">
        <f>IFERROR(H65/G65-1,"-")</f>
        <v>-</v>
      </c>
      <c r="J65" s="209" t="str">
        <f>IFERROR(H65-G65,"-")</f>
        <v>-</v>
      </c>
      <c r="K65" s="210" t="str">
        <f>IFERROR(H65/H$9,"-")</f>
        <v>-</v>
      </c>
    </row>
    <row r="66" spans="2:11" x14ac:dyDescent="0.25">
      <c r="B66" s="190" t="s">
        <v>99</v>
      </c>
      <c r="C66" s="191" t="s">
        <v>321</v>
      </c>
      <c r="D66" s="191" t="s">
        <v>321</v>
      </c>
      <c r="E66" s="191" t="s">
        <v>321</v>
      </c>
      <c r="F66" s="191" t="s">
        <v>321</v>
      </c>
      <c r="G66" s="191" t="s">
        <v>321</v>
      </c>
      <c r="H66" s="191" t="s">
        <v>321</v>
      </c>
      <c r="I66" s="211" t="str">
        <f>IFERROR(H66/G66-1,"-")</f>
        <v>-</v>
      </c>
      <c r="J66" s="214" t="str">
        <f t="shared" ref="J66:J77" si="29">IFERROR(H66-G66,"-")</f>
        <v>-</v>
      </c>
      <c r="K66" s="192" t="str">
        <f t="shared" ref="K66:K77" si="30">IFERROR(H66/H$9,"-")</f>
        <v>-</v>
      </c>
    </row>
    <row r="67" spans="2:11" x14ac:dyDescent="0.25">
      <c r="B67" s="194" t="s">
        <v>105</v>
      </c>
      <c r="C67" s="195" t="s">
        <v>321</v>
      </c>
      <c r="D67" s="195" t="s">
        <v>321</v>
      </c>
      <c r="E67" s="195" t="s">
        <v>321</v>
      </c>
      <c r="F67" s="195" t="s">
        <v>321</v>
      </c>
      <c r="G67" s="195" t="s">
        <v>321</v>
      </c>
      <c r="H67" s="195" t="s">
        <v>321</v>
      </c>
      <c r="I67" s="212" t="str">
        <f>IFERROR(H67/G67-1,"-")</f>
        <v>-</v>
      </c>
      <c r="J67" s="215" t="str">
        <f t="shared" si="29"/>
        <v>-</v>
      </c>
      <c r="K67" s="196" t="str">
        <f t="shared" si="30"/>
        <v>-</v>
      </c>
    </row>
    <row r="68" spans="2:11" x14ac:dyDescent="0.25">
      <c r="B68" s="194" t="s">
        <v>102</v>
      </c>
      <c r="C68" s="195" t="s">
        <v>321</v>
      </c>
      <c r="D68" s="195" t="s">
        <v>321</v>
      </c>
      <c r="E68" s="195" t="s">
        <v>321</v>
      </c>
      <c r="F68" s="195" t="s">
        <v>321</v>
      </c>
      <c r="G68" s="195" t="s">
        <v>321</v>
      </c>
      <c r="H68" s="195" t="s">
        <v>321</v>
      </c>
      <c r="I68" s="212" t="str">
        <f>IFERROR(H68/G68-1,"-")</f>
        <v>-</v>
      </c>
      <c r="J68" s="215" t="str">
        <f t="shared" si="29"/>
        <v>-</v>
      </c>
      <c r="K68" s="196" t="str">
        <f t="shared" si="30"/>
        <v>-</v>
      </c>
    </row>
    <row r="69" spans="2:11" x14ac:dyDescent="0.25">
      <c r="B69" s="190" t="s">
        <v>109</v>
      </c>
      <c r="C69" s="191" t="s">
        <v>321</v>
      </c>
      <c r="D69" s="191" t="s">
        <v>321</v>
      </c>
      <c r="E69" s="191" t="s">
        <v>321</v>
      </c>
      <c r="F69" s="191" t="s">
        <v>321</v>
      </c>
      <c r="G69" s="191" t="s">
        <v>321</v>
      </c>
      <c r="H69" s="191" t="s">
        <v>321</v>
      </c>
      <c r="I69" s="211" t="str">
        <f>IFERROR(H69/G69-1,"-")</f>
        <v>-</v>
      </c>
      <c r="J69" s="214" t="str">
        <f t="shared" si="29"/>
        <v>-</v>
      </c>
      <c r="K69" s="192" t="str">
        <f t="shared" si="30"/>
        <v>-</v>
      </c>
    </row>
    <row r="70" spans="2:11" x14ac:dyDescent="0.25">
      <c r="B70" s="194" t="s">
        <v>112</v>
      </c>
      <c r="C70" s="195" t="s">
        <v>321</v>
      </c>
      <c r="D70" s="195" t="s">
        <v>321</v>
      </c>
      <c r="E70" s="195" t="s">
        <v>321</v>
      </c>
      <c r="F70" s="195" t="s">
        <v>321</v>
      </c>
      <c r="G70" s="195" t="s">
        <v>321</v>
      </c>
      <c r="H70" s="195" t="s">
        <v>321</v>
      </c>
      <c r="I70" s="212" t="str">
        <f t="shared" ref="I70:I77" si="31">IFERROR(H70/G70-1,"-")</f>
        <v>-</v>
      </c>
      <c r="J70" s="215" t="str">
        <f t="shared" si="29"/>
        <v>-</v>
      </c>
      <c r="K70" s="196" t="str">
        <f t="shared" si="30"/>
        <v>-</v>
      </c>
    </row>
    <row r="71" spans="2:11" x14ac:dyDescent="0.25">
      <c r="B71" s="194" t="s">
        <v>115</v>
      </c>
      <c r="C71" s="195" t="s">
        <v>321</v>
      </c>
      <c r="D71" s="195" t="s">
        <v>321</v>
      </c>
      <c r="E71" s="195" t="s">
        <v>321</v>
      </c>
      <c r="F71" s="195" t="s">
        <v>321</v>
      </c>
      <c r="G71" s="195" t="s">
        <v>321</v>
      </c>
      <c r="H71" s="195" t="s">
        <v>321</v>
      </c>
      <c r="I71" s="212" t="str">
        <f t="shared" si="31"/>
        <v>-</v>
      </c>
      <c r="J71" s="215" t="str">
        <f t="shared" si="29"/>
        <v>-</v>
      </c>
      <c r="K71" s="196" t="str">
        <f t="shared" si="30"/>
        <v>-</v>
      </c>
    </row>
    <row r="72" spans="2:11" x14ac:dyDescent="0.25">
      <c r="B72" s="194" t="s">
        <v>118</v>
      </c>
      <c r="C72" s="195" t="s">
        <v>321</v>
      </c>
      <c r="D72" s="195" t="s">
        <v>321</v>
      </c>
      <c r="E72" s="195" t="s">
        <v>321</v>
      </c>
      <c r="F72" s="195" t="s">
        <v>321</v>
      </c>
      <c r="G72" s="195" t="s">
        <v>321</v>
      </c>
      <c r="H72" s="195" t="s">
        <v>321</v>
      </c>
      <c r="I72" s="212" t="str">
        <f t="shared" si="31"/>
        <v>-</v>
      </c>
      <c r="J72" s="215" t="str">
        <f t="shared" si="29"/>
        <v>-</v>
      </c>
      <c r="K72" s="196" t="str">
        <f t="shared" si="30"/>
        <v>-</v>
      </c>
    </row>
    <row r="73" spans="2:11" x14ac:dyDescent="0.25">
      <c r="B73" s="194" t="s">
        <v>125</v>
      </c>
      <c r="C73" s="195" t="s">
        <v>321</v>
      </c>
      <c r="D73" s="195" t="s">
        <v>321</v>
      </c>
      <c r="E73" s="195" t="s">
        <v>321</v>
      </c>
      <c r="F73" s="195" t="s">
        <v>321</v>
      </c>
      <c r="G73" s="195" t="s">
        <v>321</v>
      </c>
      <c r="H73" s="195" t="s">
        <v>321</v>
      </c>
      <c r="I73" s="212" t="str">
        <f t="shared" si="31"/>
        <v>-</v>
      </c>
      <c r="J73" s="215" t="str">
        <f t="shared" si="29"/>
        <v>-</v>
      </c>
      <c r="K73" s="196" t="str">
        <f t="shared" si="30"/>
        <v>-</v>
      </c>
    </row>
    <row r="74" spans="2:11" x14ac:dyDescent="0.25">
      <c r="B74" s="194" t="s">
        <v>121</v>
      </c>
      <c r="C74" s="195" t="s">
        <v>321</v>
      </c>
      <c r="D74" s="195" t="s">
        <v>321</v>
      </c>
      <c r="E74" s="195" t="s">
        <v>321</v>
      </c>
      <c r="F74" s="195" t="s">
        <v>321</v>
      </c>
      <c r="G74" s="195" t="s">
        <v>321</v>
      </c>
      <c r="H74" s="195" t="s">
        <v>321</v>
      </c>
      <c r="I74" s="212" t="str">
        <f t="shared" si="31"/>
        <v>-</v>
      </c>
      <c r="J74" s="215" t="str">
        <f t="shared" si="29"/>
        <v>-</v>
      </c>
      <c r="K74" s="196" t="str">
        <f t="shared" si="30"/>
        <v>-</v>
      </c>
    </row>
    <row r="75" spans="2:11" x14ac:dyDescent="0.25">
      <c r="B75" s="194" t="s">
        <v>130</v>
      </c>
      <c r="C75" s="195" t="s">
        <v>321</v>
      </c>
      <c r="D75" s="195" t="s">
        <v>321</v>
      </c>
      <c r="E75" s="195" t="s">
        <v>321</v>
      </c>
      <c r="F75" s="195" t="s">
        <v>321</v>
      </c>
      <c r="G75" s="195" t="s">
        <v>321</v>
      </c>
      <c r="H75" s="195" t="s">
        <v>321</v>
      </c>
      <c r="I75" s="212" t="str">
        <f t="shared" si="31"/>
        <v>-</v>
      </c>
      <c r="J75" s="215" t="str">
        <f t="shared" si="29"/>
        <v>-</v>
      </c>
      <c r="K75" s="196" t="str">
        <f t="shared" si="30"/>
        <v>-</v>
      </c>
    </row>
    <row r="76" spans="2:11" x14ac:dyDescent="0.25">
      <c r="B76" s="194" t="s">
        <v>133</v>
      </c>
      <c r="C76" s="195" t="s">
        <v>321</v>
      </c>
      <c r="D76" s="195" t="s">
        <v>321</v>
      </c>
      <c r="E76" s="195" t="s">
        <v>321</v>
      </c>
      <c r="F76" s="195" t="s">
        <v>321</v>
      </c>
      <c r="G76" s="195" t="s">
        <v>321</v>
      </c>
      <c r="H76" s="195" t="s">
        <v>321</v>
      </c>
      <c r="I76" s="212" t="str">
        <f t="shared" si="31"/>
        <v>-</v>
      </c>
      <c r="J76" s="215" t="str">
        <f t="shared" si="29"/>
        <v>-</v>
      </c>
      <c r="K76" s="196" t="str">
        <f t="shared" si="30"/>
        <v>-</v>
      </c>
    </row>
    <row r="77" spans="2:11" x14ac:dyDescent="0.25">
      <c r="B77" s="199" t="s">
        <v>147</v>
      </c>
      <c r="C77" s="200" t="str">
        <f t="shared" ref="C77:H77" si="32">IFERROR(C69-SUM(C70:C76),"nd")</f>
        <v>nd</v>
      </c>
      <c r="D77" s="200" t="str">
        <f t="shared" si="32"/>
        <v>nd</v>
      </c>
      <c r="E77" s="200" t="str">
        <f t="shared" si="32"/>
        <v>nd</v>
      </c>
      <c r="F77" s="200" t="str">
        <f t="shared" si="32"/>
        <v>nd</v>
      </c>
      <c r="G77" s="200" t="str">
        <f t="shared" si="32"/>
        <v>nd</v>
      </c>
      <c r="H77" s="200" t="str">
        <f t="shared" si="32"/>
        <v>nd</v>
      </c>
      <c r="I77" s="213" t="str">
        <f t="shared" si="31"/>
        <v>-</v>
      </c>
      <c r="J77" s="216" t="str">
        <f t="shared" si="29"/>
        <v>-</v>
      </c>
      <c r="K77" s="201" t="str">
        <f t="shared" si="30"/>
        <v>-</v>
      </c>
    </row>
    <row r="78" spans="2:11" x14ac:dyDescent="0.25">
      <c r="B78" s="186" t="s">
        <v>50</v>
      </c>
      <c r="C78" s="184"/>
      <c r="D78" s="184"/>
      <c r="E78" s="184"/>
      <c r="F78" s="184"/>
      <c r="G78" s="184"/>
      <c r="H78" s="184"/>
      <c r="I78" s="185"/>
      <c r="J78" s="185"/>
      <c r="K78" s="184"/>
    </row>
    <row r="79" spans="2:11" x14ac:dyDescent="0.25">
      <c r="B79" s="187" t="s">
        <v>70</v>
      </c>
      <c r="C79" s="209">
        <f t="shared" ref="C79:H79" si="33">IFERROR(C80+C83,"nd")</f>
        <v>34032</v>
      </c>
      <c r="D79" s="209">
        <f t="shared" si="33"/>
        <v>42648</v>
      </c>
      <c r="E79" s="209">
        <f t="shared" si="33"/>
        <v>99532</v>
      </c>
      <c r="F79" s="209">
        <f t="shared" si="33"/>
        <v>111181</v>
      </c>
      <c r="G79" s="209">
        <f t="shared" si="33"/>
        <v>134105</v>
      </c>
      <c r="H79" s="209">
        <f t="shared" si="33"/>
        <v>147720</v>
      </c>
      <c r="I79" s="210">
        <f>IFERROR(H79/G79-1,"-")</f>
        <v>0.10152492449945938</v>
      </c>
      <c r="J79" s="209">
        <f>IFERROR(H79-G79,"-")</f>
        <v>13615</v>
      </c>
      <c r="K79" s="210">
        <f>IFERROR(H79/H$9,"-")</f>
        <v>0.15674207376596919</v>
      </c>
    </row>
    <row r="80" spans="2:11" x14ac:dyDescent="0.25">
      <c r="B80" s="190" t="s">
        <v>99</v>
      </c>
      <c r="C80" s="191">
        <v>11706</v>
      </c>
      <c r="D80" s="191">
        <v>25498</v>
      </c>
      <c r="E80" s="191">
        <v>49826</v>
      </c>
      <c r="F80" s="191">
        <v>52337</v>
      </c>
      <c r="G80" s="191">
        <v>68628</v>
      </c>
      <c r="H80" s="191">
        <v>75485</v>
      </c>
      <c r="I80" s="211">
        <f>IFERROR(H80/G80-1,"-")</f>
        <v>9.9915486390394603E-2</v>
      </c>
      <c r="J80" s="214">
        <f t="shared" ref="J80:J91" si="34">IFERROR(H80-G80,"-")</f>
        <v>6857</v>
      </c>
      <c r="K80" s="192">
        <f t="shared" ref="K80:K91" si="35">IFERROR(H80/H$9,"-")</f>
        <v>8.0095284580450746E-2</v>
      </c>
    </row>
    <row r="81" spans="2:11" x14ac:dyDescent="0.25">
      <c r="B81" s="194" t="s">
        <v>105</v>
      </c>
      <c r="C81" s="195">
        <v>3396</v>
      </c>
      <c r="D81" s="195">
        <v>12945</v>
      </c>
      <c r="E81" s="195">
        <v>24083</v>
      </c>
      <c r="F81" s="195">
        <v>27250</v>
      </c>
      <c r="G81" s="195">
        <v>28068</v>
      </c>
      <c r="H81" s="195">
        <v>24975</v>
      </c>
      <c r="I81" s="212">
        <f>IFERROR(H81/G81-1,"-")</f>
        <v>-0.11019666524155625</v>
      </c>
      <c r="J81" s="215">
        <f t="shared" si="34"/>
        <v>-3093</v>
      </c>
      <c r="K81" s="196">
        <f t="shared" si="35"/>
        <v>2.6500360765672085E-2</v>
      </c>
    </row>
    <row r="82" spans="2:11" x14ac:dyDescent="0.25">
      <c r="B82" s="194" t="s">
        <v>102</v>
      </c>
      <c r="C82" s="195">
        <v>8310</v>
      </c>
      <c r="D82" s="195">
        <v>12553</v>
      </c>
      <c r="E82" s="195">
        <v>25743</v>
      </c>
      <c r="F82" s="195">
        <v>25087</v>
      </c>
      <c r="G82" s="195">
        <v>40560</v>
      </c>
      <c r="H82" s="195">
        <v>50510</v>
      </c>
      <c r="I82" s="212">
        <f>IFERROR(H82/G82-1,"-")</f>
        <v>0.24531558185404334</v>
      </c>
      <c r="J82" s="215">
        <f t="shared" si="34"/>
        <v>9950</v>
      </c>
      <c r="K82" s="196">
        <f t="shared" si="35"/>
        <v>5.3594923814778657E-2</v>
      </c>
    </row>
    <row r="83" spans="2:11" x14ac:dyDescent="0.25">
      <c r="B83" s="190" t="s">
        <v>109</v>
      </c>
      <c r="C83" s="191">
        <v>22326</v>
      </c>
      <c r="D83" s="191">
        <v>17150</v>
      </c>
      <c r="E83" s="191">
        <v>49706</v>
      </c>
      <c r="F83" s="191">
        <v>58844</v>
      </c>
      <c r="G83" s="191">
        <v>65477</v>
      </c>
      <c r="H83" s="191">
        <v>72235</v>
      </c>
      <c r="I83" s="211">
        <f>IFERROR(H83/G83-1,"-")</f>
        <v>0.10321181483574393</v>
      </c>
      <c r="J83" s="214">
        <f t="shared" si="34"/>
        <v>6758</v>
      </c>
      <c r="K83" s="192">
        <f t="shared" si="35"/>
        <v>7.6646789185518441E-2</v>
      </c>
    </row>
    <row r="84" spans="2:11" x14ac:dyDescent="0.25">
      <c r="B84" s="194" t="s">
        <v>112</v>
      </c>
      <c r="C84" s="195">
        <v>2019</v>
      </c>
      <c r="D84" s="195">
        <v>887</v>
      </c>
      <c r="E84" s="195">
        <v>7139</v>
      </c>
      <c r="F84" s="195">
        <v>9138</v>
      </c>
      <c r="G84" s="195">
        <v>11162</v>
      </c>
      <c r="H84" s="195">
        <v>10699</v>
      </c>
      <c r="I84" s="212">
        <f t="shared" ref="I84:I91" si="36">IFERROR(H84/G84-1,"-")</f>
        <v>-4.1480021501523079E-2</v>
      </c>
      <c r="J84" s="215">
        <f t="shared" si="34"/>
        <v>-463</v>
      </c>
      <c r="K84" s="196">
        <f t="shared" si="35"/>
        <v>1.1352446840117143E-2</v>
      </c>
    </row>
    <row r="85" spans="2:11" x14ac:dyDescent="0.25">
      <c r="B85" s="194" t="s">
        <v>115</v>
      </c>
      <c r="C85" s="195">
        <v>5194</v>
      </c>
      <c r="D85" s="195">
        <v>4040</v>
      </c>
      <c r="E85" s="195">
        <v>10877</v>
      </c>
      <c r="F85" s="195">
        <v>10973</v>
      </c>
      <c r="G85" s="195">
        <v>12929</v>
      </c>
      <c r="H85" s="195">
        <v>14090</v>
      </c>
      <c r="I85" s="212">
        <f t="shared" si="36"/>
        <v>8.9798128238842922E-2</v>
      </c>
      <c r="J85" s="215">
        <f t="shared" si="34"/>
        <v>1161</v>
      </c>
      <c r="K85" s="196">
        <f t="shared" si="35"/>
        <v>1.4950553881414202E-2</v>
      </c>
    </row>
    <row r="86" spans="2:11" x14ac:dyDescent="0.25">
      <c r="B86" s="194" t="s">
        <v>118</v>
      </c>
      <c r="C86" s="195">
        <v>965</v>
      </c>
      <c r="D86" s="195">
        <v>2426</v>
      </c>
      <c r="E86" s="195">
        <v>3618</v>
      </c>
      <c r="F86" s="195">
        <v>3721</v>
      </c>
      <c r="G86" s="195">
        <v>4319</v>
      </c>
      <c r="H86" s="195">
        <v>8036</v>
      </c>
      <c r="I86" s="212">
        <f t="shared" si="36"/>
        <v>0.86061588330632088</v>
      </c>
      <c r="J86" s="215">
        <f t="shared" si="34"/>
        <v>3717</v>
      </c>
      <c r="K86" s="196">
        <f t="shared" si="35"/>
        <v>8.5268027672849196E-3</v>
      </c>
    </row>
    <row r="87" spans="2:11" x14ac:dyDescent="0.25">
      <c r="B87" s="194" t="s">
        <v>125</v>
      </c>
      <c r="C87" s="195">
        <v>382</v>
      </c>
      <c r="D87" s="195">
        <v>797</v>
      </c>
      <c r="E87" s="195">
        <v>3902</v>
      </c>
      <c r="F87" s="195">
        <v>3732</v>
      </c>
      <c r="G87" s="195">
        <v>4397</v>
      </c>
      <c r="H87" s="195">
        <v>2408</v>
      </c>
      <c r="I87" s="212">
        <f t="shared" si="36"/>
        <v>-0.45235387764384805</v>
      </c>
      <c r="J87" s="215">
        <f t="shared" si="34"/>
        <v>-1989</v>
      </c>
      <c r="K87" s="196">
        <f t="shared" si="35"/>
        <v>2.5550698187683037E-3</v>
      </c>
    </row>
    <row r="88" spans="2:11" x14ac:dyDescent="0.25">
      <c r="B88" s="194" t="s">
        <v>121</v>
      </c>
      <c r="C88" s="195">
        <v>174</v>
      </c>
      <c r="D88" s="195">
        <v>303</v>
      </c>
      <c r="E88" s="195">
        <v>608</v>
      </c>
      <c r="F88" s="195">
        <v>496</v>
      </c>
      <c r="G88" s="195">
        <v>699</v>
      </c>
      <c r="H88" s="195">
        <v>654</v>
      </c>
      <c r="I88" s="212">
        <f t="shared" si="36"/>
        <v>-6.4377682403433445E-2</v>
      </c>
      <c r="J88" s="215">
        <f t="shared" si="34"/>
        <v>-45</v>
      </c>
      <c r="K88" s="196">
        <f t="shared" si="35"/>
        <v>6.9394338101099276E-4</v>
      </c>
    </row>
    <row r="89" spans="2:11" x14ac:dyDescent="0.25">
      <c r="B89" s="194" t="s">
        <v>130</v>
      </c>
      <c r="C89" s="195">
        <v>1327</v>
      </c>
      <c r="D89" s="195">
        <v>277</v>
      </c>
      <c r="E89" s="195">
        <v>2261</v>
      </c>
      <c r="F89" s="195">
        <v>3082</v>
      </c>
      <c r="G89" s="195">
        <v>2310</v>
      </c>
      <c r="H89" s="195">
        <v>2751</v>
      </c>
      <c r="I89" s="212">
        <f t="shared" si="36"/>
        <v>0.19090909090909092</v>
      </c>
      <c r="J89" s="215">
        <f t="shared" si="34"/>
        <v>441</v>
      </c>
      <c r="K89" s="196">
        <f t="shared" si="35"/>
        <v>2.9190187173719281E-3</v>
      </c>
    </row>
    <row r="90" spans="2:11" x14ac:dyDescent="0.25">
      <c r="B90" s="194" t="s">
        <v>133</v>
      </c>
      <c r="C90" s="195">
        <v>2399</v>
      </c>
      <c r="D90" s="195">
        <v>267</v>
      </c>
      <c r="E90" s="195">
        <v>1871</v>
      </c>
      <c r="F90" s="195">
        <v>3383</v>
      </c>
      <c r="G90" s="195">
        <v>3121</v>
      </c>
      <c r="H90" s="195">
        <v>2055</v>
      </c>
      <c r="I90" s="212">
        <f t="shared" si="36"/>
        <v>-0.34155719320730538</v>
      </c>
      <c r="J90" s="215">
        <f t="shared" si="34"/>
        <v>-1066</v>
      </c>
      <c r="K90" s="196">
        <f t="shared" si="35"/>
        <v>2.1805101651033486E-3</v>
      </c>
    </row>
    <row r="91" spans="2:11" x14ac:dyDescent="0.25">
      <c r="B91" s="199" t="s">
        <v>147</v>
      </c>
      <c r="C91" s="200">
        <f t="shared" ref="C91:H91" si="37">IFERROR(C83-SUM(C84:C90),"nd")</f>
        <v>9866</v>
      </c>
      <c r="D91" s="200">
        <f t="shared" si="37"/>
        <v>8153</v>
      </c>
      <c r="E91" s="200">
        <f t="shared" si="37"/>
        <v>19430</v>
      </c>
      <c r="F91" s="200">
        <f t="shared" si="37"/>
        <v>24319</v>
      </c>
      <c r="G91" s="200">
        <f t="shared" si="37"/>
        <v>26540</v>
      </c>
      <c r="H91" s="200">
        <f t="shared" si="37"/>
        <v>31542</v>
      </c>
      <c r="I91" s="213">
        <f t="shared" si="36"/>
        <v>0.18847023360964577</v>
      </c>
      <c r="J91" s="216">
        <f t="shared" si="34"/>
        <v>5002</v>
      </c>
      <c r="K91" s="201">
        <f t="shared" si="35"/>
        <v>3.3468443614447604E-2</v>
      </c>
    </row>
    <row r="92" spans="2:11" x14ac:dyDescent="0.25">
      <c r="B92" s="186" t="s">
        <v>51</v>
      </c>
      <c r="C92" s="184"/>
      <c r="D92" s="184"/>
      <c r="E92" s="184"/>
      <c r="F92" s="184"/>
      <c r="G92" s="184"/>
      <c r="H92" s="184"/>
      <c r="I92" s="185"/>
      <c r="J92" s="185"/>
      <c r="K92" s="184"/>
    </row>
    <row r="93" spans="2:11" x14ac:dyDescent="0.25">
      <c r="B93" s="187" t="s">
        <v>70</v>
      </c>
      <c r="C93" s="209" t="str">
        <f t="shared" ref="C93:H93" si="38">IFERROR(C94+C97,"nd")</f>
        <v>nd</v>
      </c>
      <c r="D93" s="209" t="str">
        <f t="shared" si="38"/>
        <v>nd</v>
      </c>
      <c r="E93" s="209" t="str">
        <f t="shared" si="38"/>
        <v>nd</v>
      </c>
      <c r="F93" s="209" t="str">
        <f t="shared" si="38"/>
        <v>nd</v>
      </c>
      <c r="G93" s="209" t="str">
        <f t="shared" si="38"/>
        <v>nd</v>
      </c>
      <c r="H93" s="209" t="str">
        <f t="shared" si="38"/>
        <v>nd</v>
      </c>
      <c r="I93" s="210" t="str">
        <f>IFERROR(H93/G93-1,"-")</f>
        <v>-</v>
      </c>
      <c r="J93" s="209" t="str">
        <f>IFERROR(H93-G93,"-")</f>
        <v>-</v>
      </c>
      <c r="K93" s="210" t="str">
        <f>IFERROR(H93/H$9,"-")</f>
        <v>-</v>
      </c>
    </row>
    <row r="94" spans="2:11" x14ac:dyDescent="0.25">
      <c r="B94" s="190" t="s">
        <v>99</v>
      </c>
      <c r="C94" s="191" t="s">
        <v>321</v>
      </c>
      <c r="D94" s="191" t="s">
        <v>321</v>
      </c>
      <c r="E94" s="191" t="s">
        <v>321</v>
      </c>
      <c r="F94" s="191" t="s">
        <v>321</v>
      </c>
      <c r="G94" s="191" t="s">
        <v>321</v>
      </c>
      <c r="H94" s="191" t="s">
        <v>321</v>
      </c>
      <c r="I94" s="211" t="str">
        <f>IFERROR(H94/G94-1,"-")</f>
        <v>-</v>
      </c>
      <c r="J94" s="214" t="str">
        <f t="shared" ref="J94:J105" si="39">IFERROR(H94-G94,"-")</f>
        <v>-</v>
      </c>
      <c r="K94" s="192" t="str">
        <f t="shared" ref="K94:K105" si="40">IFERROR(H94/H$9,"-")</f>
        <v>-</v>
      </c>
    </row>
    <row r="95" spans="2:11" x14ac:dyDescent="0.25">
      <c r="B95" s="194" t="s">
        <v>105</v>
      </c>
      <c r="C95" s="195" t="s">
        <v>321</v>
      </c>
      <c r="D95" s="195" t="s">
        <v>321</v>
      </c>
      <c r="E95" s="195" t="s">
        <v>321</v>
      </c>
      <c r="F95" s="195" t="s">
        <v>321</v>
      </c>
      <c r="G95" s="195" t="s">
        <v>321</v>
      </c>
      <c r="H95" s="195" t="s">
        <v>321</v>
      </c>
      <c r="I95" s="212" t="str">
        <f>IFERROR(H95/G95-1,"-")</f>
        <v>-</v>
      </c>
      <c r="J95" s="215" t="str">
        <f t="shared" si="39"/>
        <v>-</v>
      </c>
      <c r="K95" s="196" t="str">
        <f t="shared" si="40"/>
        <v>-</v>
      </c>
    </row>
    <row r="96" spans="2:11" x14ac:dyDescent="0.25">
      <c r="B96" s="194" t="s">
        <v>102</v>
      </c>
      <c r="C96" s="195" t="s">
        <v>321</v>
      </c>
      <c r="D96" s="195" t="s">
        <v>321</v>
      </c>
      <c r="E96" s="195" t="s">
        <v>321</v>
      </c>
      <c r="F96" s="195" t="s">
        <v>321</v>
      </c>
      <c r="G96" s="195" t="s">
        <v>321</v>
      </c>
      <c r="H96" s="195" t="s">
        <v>321</v>
      </c>
      <c r="I96" s="212" t="str">
        <f>IFERROR(H96/G96-1,"-")</f>
        <v>-</v>
      </c>
      <c r="J96" s="215" t="str">
        <f t="shared" si="39"/>
        <v>-</v>
      </c>
      <c r="K96" s="196" t="str">
        <f t="shared" si="40"/>
        <v>-</v>
      </c>
    </row>
    <row r="97" spans="2:11" x14ac:dyDescent="0.25">
      <c r="B97" s="190" t="s">
        <v>109</v>
      </c>
      <c r="C97" s="191" t="s">
        <v>321</v>
      </c>
      <c r="D97" s="191" t="s">
        <v>321</v>
      </c>
      <c r="E97" s="191" t="s">
        <v>321</v>
      </c>
      <c r="F97" s="191" t="s">
        <v>321</v>
      </c>
      <c r="G97" s="191" t="s">
        <v>321</v>
      </c>
      <c r="H97" s="191" t="s">
        <v>321</v>
      </c>
      <c r="I97" s="211" t="str">
        <f>IFERROR(H97/G97-1,"-")</f>
        <v>-</v>
      </c>
      <c r="J97" s="214" t="str">
        <f t="shared" si="39"/>
        <v>-</v>
      </c>
      <c r="K97" s="192" t="str">
        <f t="shared" si="40"/>
        <v>-</v>
      </c>
    </row>
    <row r="98" spans="2:11" x14ac:dyDescent="0.25">
      <c r="B98" s="194" t="s">
        <v>112</v>
      </c>
      <c r="C98" s="195" t="s">
        <v>321</v>
      </c>
      <c r="D98" s="195" t="s">
        <v>321</v>
      </c>
      <c r="E98" s="195" t="s">
        <v>321</v>
      </c>
      <c r="F98" s="195" t="s">
        <v>321</v>
      </c>
      <c r="G98" s="195" t="s">
        <v>321</v>
      </c>
      <c r="H98" s="195" t="s">
        <v>321</v>
      </c>
      <c r="I98" s="212" t="str">
        <f t="shared" ref="I98:I105" si="41">IFERROR(H98/G98-1,"-")</f>
        <v>-</v>
      </c>
      <c r="J98" s="215" t="str">
        <f t="shared" si="39"/>
        <v>-</v>
      </c>
      <c r="K98" s="196" t="str">
        <f t="shared" si="40"/>
        <v>-</v>
      </c>
    </row>
    <row r="99" spans="2:11" x14ac:dyDescent="0.25">
      <c r="B99" s="194" t="s">
        <v>115</v>
      </c>
      <c r="C99" s="195" t="s">
        <v>321</v>
      </c>
      <c r="D99" s="195" t="s">
        <v>321</v>
      </c>
      <c r="E99" s="195" t="s">
        <v>321</v>
      </c>
      <c r="F99" s="195" t="s">
        <v>321</v>
      </c>
      <c r="G99" s="195" t="s">
        <v>321</v>
      </c>
      <c r="H99" s="195" t="s">
        <v>321</v>
      </c>
      <c r="I99" s="212" t="str">
        <f t="shared" si="41"/>
        <v>-</v>
      </c>
      <c r="J99" s="215" t="str">
        <f t="shared" si="39"/>
        <v>-</v>
      </c>
      <c r="K99" s="196" t="str">
        <f t="shared" si="40"/>
        <v>-</v>
      </c>
    </row>
    <row r="100" spans="2:11" x14ac:dyDescent="0.25">
      <c r="B100" s="194" t="s">
        <v>118</v>
      </c>
      <c r="C100" s="195" t="s">
        <v>321</v>
      </c>
      <c r="D100" s="195" t="s">
        <v>321</v>
      </c>
      <c r="E100" s="195" t="s">
        <v>321</v>
      </c>
      <c r="F100" s="195" t="s">
        <v>321</v>
      </c>
      <c r="G100" s="195" t="s">
        <v>321</v>
      </c>
      <c r="H100" s="195" t="s">
        <v>321</v>
      </c>
      <c r="I100" s="212" t="str">
        <f t="shared" si="41"/>
        <v>-</v>
      </c>
      <c r="J100" s="215" t="str">
        <f t="shared" si="39"/>
        <v>-</v>
      </c>
      <c r="K100" s="196" t="str">
        <f t="shared" si="40"/>
        <v>-</v>
      </c>
    </row>
    <row r="101" spans="2:11" x14ac:dyDescent="0.25">
      <c r="B101" s="194" t="s">
        <v>125</v>
      </c>
      <c r="C101" s="195" t="s">
        <v>321</v>
      </c>
      <c r="D101" s="195" t="s">
        <v>321</v>
      </c>
      <c r="E101" s="195" t="s">
        <v>321</v>
      </c>
      <c r="F101" s="195" t="s">
        <v>321</v>
      </c>
      <c r="G101" s="195" t="s">
        <v>321</v>
      </c>
      <c r="H101" s="195" t="s">
        <v>321</v>
      </c>
      <c r="I101" s="212" t="str">
        <f t="shared" si="41"/>
        <v>-</v>
      </c>
      <c r="J101" s="215" t="str">
        <f t="shared" si="39"/>
        <v>-</v>
      </c>
      <c r="K101" s="196" t="str">
        <f t="shared" si="40"/>
        <v>-</v>
      </c>
    </row>
    <row r="102" spans="2:11" x14ac:dyDescent="0.25">
      <c r="B102" s="194" t="s">
        <v>121</v>
      </c>
      <c r="C102" s="195" t="s">
        <v>321</v>
      </c>
      <c r="D102" s="195" t="s">
        <v>321</v>
      </c>
      <c r="E102" s="195" t="s">
        <v>321</v>
      </c>
      <c r="F102" s="195" t="s">
        <v>321</v>
      </c>
      <c r="G102" s="195" t="s">
        <v>321</v>
      </c>
      <c r="H102" s="195" t="s">
        <v>321</v>
      </c>
      <c r="I102" s="212" t="str">
        <f t="shared" si="41"/>
        <v>-</v>
      </c>
      <c r="J102" s="215" t="str">
        <f t="shared" si="39"/>
        <v>-</v>
      </c>
      <c r="K102" s="196" t="str">
        <f t="shared" si="40"/>
        <v>-</v>
      </c>
    </row>
    <row r="103" spans="2:11" x14ac:dyDescent="0.25">
      <c r="B103" s="194" t="s">
        <v>130</v>
      </c>
      <c r="C103" s="195" t="s">
        <v>321</v>
      </c>
      <c r="D103" s="195" t="s">
        <v>321</v>
      </c>
      <c r="E103" s="195" t="s">
        <v>321</v>
      </c>
      <c r="F103" s="195" t="s">
        <v>321</v>
      </c>
      <c r="G103" s="195" t="s">
        <v>321</v>
      </c>
      <c r="H103" s="195" t="s">
        <v>321</v>
      </c>
      <c r="I103" s="212" t="str">
        <f t="shared" si="41"/>
        <v>-</v>
      </c>
      <c r="J103" s="215" t="str">
        <f t="shared" si="39"/>
        <v>-</v>
      </c>
      <c r="K103" s="196" t="str">
        <f t="shared" si="40"/>
        <v>-</v>
      </c>
    </row>
    <row r="104" spans="2:11" x14ac:dyDescent="0.25">
      <c r="B104" s="194" t="s">
        <v>133</v>
      </c>
      <c r="C104" s="195" t="s">
        <v>321</v>
      </c>
      <c r="D104" s="195" t="s">
        <v>321</v>
      </c>
      <c r="E104" s="195" t="s">
        <v>321</v>
      </c>
      <c r="F104" s="195" t="s">
        <v>321</v>
      </c>
      <c r="G104" s="195" t="s">
        <v>321</v>
      </c>
      <c r="H104" s="195" t="s">
        <v>321</v>
      </c>
      <c r="I104" s="212" t="str">
        <f t="shared" si="41"/>
        <v>-</v>
      </c>
      <c r="J104" s="215" t="str">
        <f t="shared" si="39"/>
        <v>-</v>
      </c>
      <c r="K104" s="196" t="str">
        <f t="shared" si="40"/>
        <v>-</v>
      </c>
    </row>
    <row r="105" spans="2:11" x14ac:dyDescent="0.25">
      <c r="B105" s="199" t="s">
        <v>147</v>
      </c>
      <c r="C105" s="200" t="str">
        <f t="shared" ref="C105:H105" si="42">IFERROR(C97-SUM(C98:C104),"nd")</f>
        <v>nd</v>
      </c>
      <c r="D105" s="200" t="str">
        <f t="shared" si="42"/>
        <v>nd</v>
      </c>
      <c r="E105" s="200" t="str">
        <f t="shared" si="42"/>
        <v>nd</v>
      </c>
      <c r="F105" s="200" t="str">
        <f t="shared" si="42"/>
        <v>nd</v>
      </c>
      <c r="G105" s="200" t="str">
        <f t="shared" si="42"/>
        <v>nd</v>
      </c>
      <c r="H105" s="200" t="str">
        <f t="shared" si="42"/>
        <v>nd</v>
      </c>
      <c r="I105" s="213" t="str">
        <f t="shared" si="41"/>
        <v>-</v>
      </c>
      <c r="J105" s="216" t="str">
        <f t="shared" si="39"/>
        <v>-</v>
      </c>
      <c r="K105" s="201" t="str">
        <f t="shared" si="40"/>
        <v>-</v>
      </c>
    </row>
    <row r="106" spans="2:11" x14ac:dyDescent="0.25">
      <c r="B106" s="186" t="s">
        <v>52</v>
      </c>
      <c r="C106" s="184"/>
      <c r="D106" s="184"/>
      <c r="E106" s="184"/>
      <c r="F106" s="184"/>
      <c r="G106" s="184"/>
      <c r="H106" s="184"/>
      <c r="I106" s="185"/>
      <c r="J106" s="185"/>
      <c r="K106" s="184"/>
    </row>
    <row r="107" spans="2:11" x14ac:dyDescent="0.25">
      <c r="B107" s="187" t="s">
        <v>70</v>
      </c>
      <c r="C107" s="209">
        <f t="shared" ref="C107:H107" si="43">IFERROR(C108+C111,"nd")</f>
        <v>13758</v>
      </c>
      <c r="D107" s="209">
        <f t="shared" si="43"/>
        <v>5374</v>
      </c>
      <c r="E107" s="209">
        <f t="shared" si="43"/>
        <v>21487</v>
      </c>
      <c r="F107" s="209">
        <f t="shared" si="43"/>
        <v>24305</v>
      </c>
      <c r="G107" s="209">
        <f t="shared" si="43"/>
        <v>24056</v>
      </c>
      <c r="H107" s="209">
        <f t="shared" si="43"/>
        <v>25161</v>
      </c>
      <c r="I107" s="210">
        <f>IFERROR(H107/G107-1,"-")</f>
        <v>4.5934486198869307E-2</v>
      </c>
      <c r="J107" s="209">
        <f>IFERROR(H107-G107,"-")</f>
        <v>1105</v>
      </c>
      <c r="K107" s="210">
        <f>IFERROR(H107/H$9,"-")</f>
        <v>2.6697720809812826E-2</v>
      </c>
    </row>
    <row r="108" spans="2:11" x14ac:dyDescent="0.25">
      <c r="B108" s="190" t="s">
        <v>99</v>
      </c>
      <c r="C108" s="191">
        <v>2060</v>
      </c>
      <c r="D108" s="191">
        <v>3720</v>
      </c>
      <c r="E108" s="191">
        <v>6556</v>
      </c>
      <c r="F108" s="191">
        <v>5983</v>
      </c>
      <c r="G108" s="191">
        <v>5125</v>
      </c>
      <c r="H108" s="191">
        <v>5070</v>
      </c>
      <c r="I108" s="211">
        <f>IFERROR(H108/G108-1,"-")</f>
        <v>-1.073170731707318E-2</v>
      </c>
      <c r="J108" s="214">
        <f t="shared" ref="J108:J119" si="44">IFERROR(H108-G108,"-")</f>
        <v>-55</v>
      </c>
      <c r="K108" s="192">
        <f t="shared" ref="K108:K119" si="45">IFERROR(H108/H$9,"-")</f>
        <v>5.379652816094393E-3</v>
      </c>
    </row>
    <row r="109" spans="2:11" x14ac:dyDescent="0.25">
      <c r="B109" s="194" t="s">
        <v>105</v>
      </c>
      <c r="C109" s="195">
        <v>1452</v>
      </c>
      <c r="D109" s="195">
        <v>3066</v>
      </c>
      <c r="E109" s="195">
        <v>4894</v>
      </c>
      <c r="F109" s="195">
        <v>4333</v>
      </c>
      <c r="G109" s="195">
        <v>3197</v>
      </c>
      <c r="H109" s="195">
        <v>2998</v>
      </c>
      <c r="I109" s="212">
        <f>IFERROR(H109/G109-1,"-")</f>
        <v>-6.224585548952144E-2</v>
      </c>
      <c r="J109" s="215">
        <f t="shared" si="44"/>
        <v>-199</v>
      </c>
      <c r="K109" s="196">
        <f t="shared" si="45"/>
        <v>3.1811043673867835E-3</v>
      </c>
    </row>
    <row r="110" spans="2:11" x14ac:dyDescent="0.25">
      <c r="B110" s="194" t="s">
        <v>102</v>
      </c>
      <c r="C110" s="195">
        <v>608</v>
      </c>
      <c r="D110" s="195">
        <v>654</v>
      </c>
      <c r="E110" s="195">
        <v>1662</v>
      </c>
      <c r="F110" s="195">
        <v>1650</v>
      </c>
      <c r="G110" s="195">
        <v>1928</v>
      </c>
      <c r="H110" s="195">
        <v>2072</v>
      </c>
      <c r="I110" s="212">
        <f>IFERROR(H110/G110-1,"-")</f>
        <v>7.4688796680497882E-2</v>
      </c>
      <c r="J110" s="215">
        <f t="shared" si="44"/>
        <v>144</v>
      </c>
      <c r="K110" s="196">
        <f t="shared" si="45"/>
        <v>2.19854844870761E-3</v>
      </c>
    </row>
    <row r="111" spans="2:11" x14ac:dyDescent="0.25">
      <c r="B111" s="190" t="s">
        <v>109</v>
      </c>
      <c r="C111" s="191">
        <v>11698</v>
      </c>
      <c r="D111" s="191">
        <v>1654</v>
      </c>
      <c r="E111" s="191">
        <v>14931</v>
      </c>
      <c r="F111" s="191">
        <v>18322</v>
      </c>
      <c r="G111" s="191">
        <v>18931</v>
      </c>
      <c r="H111" s="191">
        <v>20091</v>
      </c>
      <c r="I111" s="211">
        <f>IFERROR(H111/G111-1,"-")</f>
        <v>6.1275157149648818E-2</v>
      </c>
      <c r="J111" s="214">
        <f t="shared" si="44"/>
        <v>1160</v>
      </c>
      <c r="K111" s="192">
        <f t="shared" si="45"/>
        <v>2.1318067993718434E-2</v>
      </c>
    </row>
    <row r="112" spans="2:11" x14ac:dyDescent="0.25">
      <c r="B112" s="194" t="s">
        <v>112</v>
      </c>
      <c r="C112" s="195">
        <v>6095</v>
      </c>
      <c r="D112" s="195">
        <v>784</v>
      </c>
      <c r="E112" s="195">
        <v>9320</v>
      </c>
      <c r="F112" s="195">
        <v>11377</v>
      </c>
      <c r="G112" s="195">
        <v>10875</v>
      </c>
      <c r="H112" s="195">
        <v>11796</v>
      </c>
      <c r="I112" s="212">
        <f t="shared" ref="I112:I119" si="46">IFERROR(H112/G112-1,"-")</f>
        <v>8.4689655172413891E-2</v>
      </c>
      <c r="J112" s="215">
        <f t="shared" si="44"/>
        <v>921</v>
      </c>
      <c r="K112" s="196">
        <f t="shared" si="45"/>
        <v>1.2516446670345061E-2</v>
      </c>
    </row>
    <row r="113" spans="2:11" x14ac:dyDescent="0.25">
      <c r="B113" s="194" t="s">
        <v>115</v>
      </c>
      <c r="C113" s="195">
        <v>474</v>
      </c>
      <c r="D113" s="195">
        <v>100</v>
      </c>
      <c r="E113" s="195">
        <v>563</v>
      </c>
      <c r="F113" s="195">
        <v>873</v>
      </c>
      <c r="G113" s="195">
        <v>904</v>
      </c>
      <c r="H113" s="195">
        <v>1094</v>
      </c>
      <c r="I113" s="212">
        <f t="shared" si="46"/>
        <v>0.21017699115044253</v>
      </c>
      <c r="J113" s="215">
        <f t="shared" si="44"/>
        <v>190</v>
      </c>
      <c r="K113" s="196">
        <f t="shared" si="45"/>
        <v>1.1608166037095199E-3</v>
      </c>
    </row>
    <row r="114" spans="2:11" x14ac:dyDescent="0.25">
      <c r="B114" s="194" t="s">
        <v>118</v>
      </c>
      <c r="C114" s="195">
        <v>623</v>
      </c>
      <c r="D114" s="195">
        <v>194</v>
      </c>
      <c r="E114" s="195">
        <v>801</v>
      </c>
      <c r="F114" s="195">
        <v>1027</v>
      </c>
      <c r="G114" s="195">
        <v>1133</v>
      </c>
      <c r="H114" s="195">
        <v>1173</v>
      </c>
      <c r="I114" s="212">
        <f t="shared" si="46"/>
        <v>3.5304501323918824E-2</v>
      </c>
      <c r="J114" s="215">
        <f t="shared" si="44"/>
        <v>40</v>
      </c>
      <c r="K114" s="196">
        <f t="shared" si="45"/>
        <v>1.2446415686940282E-3</v>
      </c>
    </row>
    <row r="115" spans="2:11" x14ac:dyDescent="0.25">
      <c r="B115" s="194" t="s">
        <v>125</v>
      </c>
      <c r="C115" s="195">
        <v>167</v>
      </c>
      <c r="D115" s="195">
        <v>42</v>
      </c>
      <c r="E115" s="195">
        <v>272</v>
      </c>
      <c r="F115" s="195">
        <v>364</v>
      </c>
      <c r="G115" s="195">
        <v>414</v>
      </c>
      <c r="H115" s="195">
        <v>443</v>
      </c>
      <c r="I115" s="212">
        <f t="shared" si="46"/>
        <v>7.004830917874405E-2</v>
      </c>
      <c r="J115" s="215">
        <f t="shared" si="44"/>
        <v>29</v>
      </c>
      <c r="K115" s="196">
        <f t="shared" si="45"/>
        <v>4.700564492169263E-4</v>
      </c>
    </row>
    <row r="116" spans="2:11" x14ac:dyDescent="0.25">
      <c r="B116" s="194" t="s">
        <v>121</v>
      </c>
      <c r="C116" s="195">
        <v>262</v>
      </c>
      <c r="D116" s="195">
        <v>54</v>
      </c>
      <c r="E116" s="195">
        <v>295</v>
      </c>
      <c r="F116" s="195">
        <v>347</v>
      </c>
      <c r="G116" s="195">
        <v>325</v>
      </c>
      <c r="H116" s="195">
        <v>347</v>
      </c>
      <c r="I116" s="212">
        <f t="shared" si="46"/>
        <v>6.7692307692307718E-2</v>
      </c>
      <c r="J116" s="215">
        <f t="shared" si="44"/>
        <v>22</v>
      </c>
      <c r="K116" s="196">
        <f t="shared" si="45"/>
        <v>3.6819320062815672E-4</v>
      </c>
    </row>
    <row r="117" spans="2:11" x14ac:dyDescent="0.25">
      <c r="B117" s="194" t="s">
        <v>130</v>
      </c>
      <c r="C117" s="195">
        <v>180</v>
      </c>
      <c r="D117" s="195">
        <v>13</v>
      </c>
      <c r="E117" s="195">
        <v>68</v>
      </c>
      <c r="F117" s="195">
        <v>116</v>
      </c>
      <c r="G117" s="195">
        <v>72</v>
      </c>
      <c r="H117" s="195">
        <v>77</v>
      </c>
      <c r="I117" s="212">
        <f t="shared" si="46"/>
        <v>6.944444444444442E-2</v>
      </c>
      <c r="J117" s="215">
        <f t="shared" si="44"/>
        <v>5</v>
      </c>
      <c r="K117" s="196">
        <f t="shared" si="45"/>
        <v>8.1702813972242268E-5</v>
      </c>
    </row>
    <row r="118" spans="2:11" x14ac:dyDescent="0.25">
      <c r="B118" s="194" t="s">
        <v>133</v>
      </c>
      <c r="C118" s="195">
        <v>383</v>
      </c>
      <c r="D118" s="195">
        <v>7</v>
      </c>
      <c r="E118" s="195">
        <v>80</v>
      </c>
      <c r="F118" s="195">
        <v>76</v>
      </c>
      <c r="G118" s="195">
        <v>90</v>
      </c>
      <c r="H118" s="195">
        <v>73</v>
      </c>
      <c r="I118" s="212">
        <f t="shared" si="46"/>
        <v>-0.18888888888888888</v>
      </c>
      <c r="J118" s="215">
        <f t="shared" si="44"/>
        <v>-17</v>
      </c>
      <c r="K118" s="196">
        <f t="shared" si="45"/>
        <v>7.7458511947710193E-5</v>
      </c>
    </row>
    <row r="119" spans="2:11" x14ac:dyDescent="0.25">
      <c r="B119" s="199" t="s">
        <v>147</v>
      </c>
      <c r="C119" s="200">
        <f t="shared" ref="C119:H119" si="47">IFERROR(C111-SUM(C112:C118),"nd")</f>
        <v>3514</v>
      </c>
      <c r="D119" s="200">
        <f t="shared" si="47"/>
        <v>460</v>
      </c>
      <c r="E119" s="200">
        <f t="shared" si="47"/>
        <v>3532</v>
      </c>
      <c r="F119" s="200">
        <f t="shared" si="47"/>
        <v>4142</v>
      </c>
      <c r="G119" s="200">
        <f t="shared" si="47"/>
        <v>5118</v>
      </c>
      <c r="H119" s="200">
        <f t="shared" si="47"/>
        <v>5088</v>
      </c>
      <c r="I119" s="213">
        <f t="shared" si="46"/>
        <v>-5.8616647127783805E-3</v>
      </c>
      <c r="J119" s="216">
        <f t="shared" si="44"/>
        <v>-30</v>
      </c>
      <c r="K119" s="201">
        <f t="shared" si="45"/>
        <v>5.3987521752047879E-3</v>
      </c>
    </row>
    <row r="120" spans="2:11" x14ac:dyDescent="0.25">
      <c r="B120" s="186" t="s">
        <v>53</v>
      </c>
      <c r="C120" s="184"/>
      <c r="D120" s="184"/>
      <c r="E120" s="184"/>
      <c r="F120" s="184"/>
      <c r="G120" s="184"/>
      <c r="H120" s="184"/>
      <c r="I120" s="185"/>
      <c r="J120" s="185"/>
      <c r="K120" s="184"/>
    </row>
    <row r="121" spans="2:11" x14ac:dyDescent="0.25">
      <c r="B121" s="187" t="s">
        <v>70</v>
      </c>
      <c r="C121" s="209" t="str">
        <f t="shared" ref="C121:H121" si="48">IFERROR(C122+C125,"nd")</f>
        <v>nd</v>
      </c>
      <c r="D121" s="209" t="str">
        <f t="shared" si="48"/>
        <v>nd</v>
      </c>
      <c r="E121" s="209" t="str">
        <f t="shared" si="48"/>
        <v>nd</v>
      </c>
      <c r="F121" s="209" t="str">
        <f t="shared" si="48"/>
        <v>nd</v>
      </c>
      <c r="G121" s="209" t="str">
        <f t="shared" si="48"/>
        <v>nd</v>
      </c>
      <c r="H121" s="209" t="str">
        <f t="shared" si="48"/>
        <v>nd</v>
      </c>
      <c r="I121" s="210" t="str">
        <f>IFERROR(H121/G121-1,"-")</f>
        <v>-</v>
      </c>
      <c r="J121" s="209" t="str">
        <f>IFERROR(H121-G121,"-")</f>
        <v>-</v>
      </c>
      <c r="K121" s="210" t="str">
        <f>IFERROR(H121/H$9,"-")</f>
        <v>-</v>
      </c>
    </row>
    <row r="122" spans="2:11" x14ac:dyDescent="0.25">
      <c r="B122" s="190" t="s">
        <v>99</v>
      </c>
      <c r="C122" s="191" t="s">
        <v>321</v>
      </c>
      <c r="D122" s="191" t="s">
        <v>321</v>
      </c>
      <c r="E122" s="191" t="s">
        <v>321</v>
      </c>
      <c r="F122" s="191" t="s">
        <v>321</v>
      </c>
      <c r="G122" s="191" t="s">
        <v>321</v>
      </c>
      <c r="H122" s="191" t="s">
        <v>321</v>
      </c>
      <c r="I122" s="211" t="str">
        <f>IFERROR(H122/G122-1,"-")</f>
        <v>-</v>
      </c>
      <c r="J122" s="214" t="str">
        <f t="shared" ref="J122:J133" si="49">IFERROR(H122-G122,"-")</f>
        <v>-</v>
      </c>
      <c r="K122" s="192" t="str">
        <f t="shared" ref="K122:K133" si="50">IFERROR(H122/H$9,"-")</f>
        <v>-</v>
      </c>
    </row>
    <row r="123" spans="2:11" x14ac:dyDescent="0.25">
      <c r="B123" s="194" t="s">
        <v>105</v>
      </c>
      <c r="C123" s="195" t="s">
        <v>321</v>
      </c>
      <c r="D123" s="195" t="s">
        <v>321</v>
      </c>
      <c r="E123" s="195" t="s">
        <v>321</v>
      </c>
      <c r="F123" s="195" t="s">
        <v>321</v>
      </c>
      <c r="G123" s="195" t="s">
        <v>321</v>
      </c>
      <c r="H123" s="195" t="s">
        <v>321</v>
      </c>
      <c r="I123" s="212" t="str">
        <f>IFERROR(H123/G123-1,"-")</f>
        <v>-</v>
      </c>
      <c r="J123" s="215" t="str">
        <f t="shared" si="49"/>
        <v>-</v>
      </c>
      <c r="K123" s="196" t="str">
        <f t="shared" si="50"/>
        <v>-</v>
      </c>
    </row>
    <row r="124" spans="2:11" x14ac:dyDescent="0.25">
      <c r="B124" s="194" t="s">
        <v>102</v>
      </c>
      <c r="C124" s="195" t="s">
        <v>321</v>
      </c>
      <c r="D124" s="195" t="s">
        <v>321</v>
      </c>
      <c r="E124" s="195" t="s">
        <v>321</v>
      </c>
      <c r="F124" s="195" t="s">
        <v>321</v>
      </c>
      <c r="G124" s="195" t="s">
        <v>321</v>
      </c>
      <c r="H124" s="195" t="s">
        <v>321</v>
      </c>
      <c r="I124" s="212" t="str">
        <f>IFERROR(H124/G124-1,"-")</f>
        <v>-</v>
      </c>
      <c r="J124" s="215" t="str">
        <f t="shared" si="49"/>
        <v>-</v>
      </c>
      <c r="K124" s="196" t="str">
        <f t="shared" si="50"/>
        <v>-</v>
      </c>
    </row>
    <row r="125" spans="2:11" x14ac:dyDescent="0.25">
      <c r="B125" s="190" t="s">
        <v>109</v>
      </c>
      <c r="C125" s="191" t="s">
        <v>321</v>
      </c>
      <c r="D125" s="191" t="s">
        <v>321</v>
      </c>
      <c r="E125" s="191" t="s">
        <v>321</v>
      </c>
      <c r="F125" s="191" t="s">
        <v>321</v>
      </c>
      <c r="G125" s="191" t="s">
        <v>321</v>
      </c>
      <c r="H125" s="191" t="s">
        <v>321</v>
      </c>
      <c r="I125" s="211" t="str">
        <f>IFERROR(H125/G125-1,"-")</f>
        <v>-</v>
      </c>
      <c r="J125" s="214" t="str">
        <f t="shared" si="49"/>
        <v>-</v>
      </c>
      <c r="K125" s="192" t="str">
        <f t="shared" si="50"/>
        <v>-</v>
      </c>
    </row>
    <row r="126" spans="2:11" x14ac:dyDescent="0.25">
      <c r="B126" s="194" t="s">
        <v>112</v>
      </c>
      <c r="C126" s="195" t="s">
        <v>321</v>
      </c>
      <c r="D126" s="195" t="s">
        <v>321</v>
      </c>
      <c r="E126" s="195" t="s">
        <v>321</v>
      </c>
      <c r="F126" s="195" t="s">
        <v>321</v>
      </c>
      <c r="G126" s="195" t="s">
        <v>321</v>
      </c>
      <c r="H126" s="195" t="s">
        <v>321</v>
      </c>
      <c r="I126" s="212" t="str">
        <f t="shared" ref="I126:I133" si="51">IFERROR(H126/G126-1,"-")</f>
        <v>-</v>
      </c>
      <c r="J126" s="215" t="str">
        <f t="shared" si="49"/>
        <v>-</v>
      </c>
      <c r="K126" s="196" t="str">
        <f t="shared" si="50"/>
        <v>-</v>
      </c>
    </row>
    <row r="127" spans="2:11" x14ac:dyDescent="0.25">
      <c r="B127" s="194" t="s">
        <v>115</v>
      </c>
      <c r="C127" s="195" t="s">
        <v>321</v>
      </c>
      <c r="D127" s="195" t="s">
        <v>321</v>
      </c>
      <c r="E127" s="195" t="s">
        <v>321</v>
      </c>
      <c r="F127" s="195" t="s">
        <v>321</v>
      </c>
      <c r="G127" s="195" t="s">
        <v>321</v>
      </c>
      <c r="H127" s="195" t="s">
        <v>321</v>
      </c>
      <c r="I127" s="212" t="str">
        <f t="shared" si="51"/>
        <v>-</v>
      </c>
      <c r="J127" s="215" t="str">
        <f t="shared" si="49"/>
        <v>-</v>
      </c>
      <c r="K127" s="196" t="str">
        <f t="shared" si="50"/>
        <v>-</v>
      </c>
    </row>
    <row r="128" spans="2:11" x14ac:dyDescent="0.25">
      <c r="B128" s="194" t="s">
        <v>118</v>
      </c>
      <c r="C128" s="195" t="s">
        <v>321</v>
      </c>
      <c r="D128" s="195" t="s">
        <v>321</v>
      </c>
      <c r="E128" s="195" t="s">
        <v>321</v>
      </c>
      <c r="F128" s="195" t="s">
        <v>321</v>
      </c>
      <c r="G128" s="195" t="s">
        <v>321</v>
      </c>
      <c r="H128" s="195" t="s">
        <v>321</v>
      </c>
      <c r="I128" s="212" t="str">
        <f t="shared" si="51"/>
        <v>-</v>
      </c>
      <c r="J128" s="215" t="str">
        <f t="shared" si="49"/>
        <v>-</v>
      </c>
      <c r="K128" s="196" t="str">
        <f t="shared" si="50"/>
        <v>-</v>
      </c>
    </row>
    <row r="129" spans="2:11" x14ac:dyDescent="0.25">
      <c r="B129" s="194" t="s">
        <v>125</v>
      </c>
      <c r="C129" s="195" t="s">
        <v>321</v>
      </c>
      <c r="D129" s="195" t="s">
        <v>321</v>
      </c>
      <c r="E129" s="195" t="s">
        <v>321</v>
      </c>
      <c r="F129" s="195" t="s">
        <v>321</v>
      </c>
      <c r="G129" s="195" t="s">
        <v>321</v>
      </c>
      <c r="H129" s="195" t="s">
        <v>321</v>
      </c>
      <c r="I129" s="212" t="str">
        <f t="shared" si="51"/>
        <v>-</v>
      </c>
      <c r="J129" s="215" t="str">
        <f t="shared" si="49"/>
        <v>-</v>
      </c>
      <c r="K129" s="196" t="str">
        <f t="shared" si="50"/>
        <v>-</v>
      </c>
    </row>
    <row r="130" spans="2:11" x14ac:dyDescent="0.25">
      <c r="B130" s="194" t="s">
        <v>121</v>
      </c>
      <c r="C130" s="195" t="s">
        <v>321</v>
      </c>
      <c r="D130" s="195" t="s">
        <v>321</v>
      </c>
      <c r="E130" s="195" t="s">
        <v>321</v>
      </c>
      <c r="F130" s="195" t="s">
        <v>321</v>
      </c>
      <c r="G130" s="195" t="s">
        <v>321</v>
      </c>
      <c r="H130" s="195" t="s">
        <v>321</v>
      </c>
      <c r="I130" s="212" t="str">
        <f t="shared" si="51"/>
        <v>-</v>
      </c>
      <c r="J130" s="215" t="str">
        <f t="shared" si="49"/>
        <v>-</v>
      </c>
      <c r="K130" s="196" t="str">
        <f t="shared" si="50"/>
        <v>-</v>
      </c>
    </row>
    <row r="131" spans="2:11" x14ac:dyDescent="0.25">
      <c r="B131" s="194" t="s">
        <v>130</v>
      </c>
      <c r="C131" s="195" t="s">
        <v>321</v>
      </c>
      <c r="D131" s="195" t="s">
        <v>321</v>
      </c>
      <c r="E131" s="195" t="s">
        <v>321</v>
      </c>
      <c r="F131" s="195" t="s">
        <v>321</v>
      </c>
      <c r="G131" s="195" t="s">
        <v>321</v>
      </c>
      <c r="H131" s="195" t="s">
        <v>321</v>
      </c>
      <c r="I131" s="212" t="str">
        <f t="shared" si="51"/>
        <v>-</v>
      </c>
      <c r="J131" s="215" t="str">
        <f t="shared" si="49"/>
        <v>-</v>
      </c>
      <c r="K131" s="196" t="str">
        <f t="shared" si="50"/>
        <v>-</v>
      </c>
    </row>
    <row r="132" spans="2:11" x14ac:dyDescent="0.25">
      <c r="B132" s="194" t="s">
        <v>133</v>
      </c>
      <c r="C132" s="195" t="s">
        <v>321</v>
      </c>
      <c r="D132" s="195" t="s">
        <v>321</v>
      </c>
      <c r="E132" s="195" t="s">
        <v>321</v>
      </c>
      <c r="F132" s="195" t="s">
        <v>321</v>
      </c>
      <c r="G132" s="195" t="s">
        <v>321</v>
      </c>
      <c r="H132" s="195" t="s">
        <v>321</v>
      </c>
      <c r="I132" s="212" t="str">
        <f t="shared" si="51"/>
        <v>-</v>
      </c>
      <c r="J132" s="215" t="str">
        <f t="shared" si="49"/>
        <v>-</v>
      </c>
      <c r="K132" s="196" t="str">
        <f t="shared" si="50"/>
        <v>-</v>
      </c>
    </row>
    <row r="133" spans="2:11" x14ac:dyDescent="0.25">
      <c r="B133" s="199" t="s">
        <v>147</v>
      </c>
      <c r="C133" s="200" t="str">
        <f t="shared" ref="C133:H133" si="52">IFERROR(C125-SUM(C126:C132),"nd")</f>
        <v>nd</v>
      </c>
      <c r="D133" s="200" t="str">
        <f t="shared" si="52"/>
        <v>nd</v>
      </c>
      <c r="E133" s="200" t="str">
        <f t="shared" si="52"/>
        <v>nd</v>
      </c>
      <c r="F133" s="200" t="str">
        <f t="shared" si="52"/>
        <v>nd</v>
      </c>
      <c r="G133" s="200" t="str">
        <f t="shared" si="52"/>
        <v>nd</v>
      </c>
      <c r="H133" s="200" t="str">
        <f t="shared" si="52"/>
        <v>nd</v>
      </c>
      <c r="I133" s="213" t="str">
        <f t="shared" si="51"/>
        <v>-</v>
      </c>
      <c r="J133" s="216" t="str">
        <f t="shared" si="49"/>
        <v>-</v>
      </c>
      <c r="K133" s="201" t="str">
        <f t="shared" si="50"/>
        <v>-</v>
      </c>
    </row>
    <row r="134" spans="2:11" x14ac:dyDescent="0.25">
      <c r="B134" s="186" t="s">
        <v>54</v>
      </c>
      <c r="C134" s="184"/>
      <c r="D134" s="184"/>
      <c r="E134" s="184"/>
      <c r="F134" s="184"/>
      <c r="G134" s="184"/>
      <c r="H134" s="184"/>
      <c r="I134" s="185"/>
      <c r="J134" s="185"/>
      <c r="K134" s="184"/>
    </row>
    <row r="135" spans="2:11" x14ac:dyDescent="0.25">
      <c r="B135" s="187" t="s">
        <v>70</v>
      </c>
      <c r="C135" s="209">
        <f t="shared" ref="C135:H135" si="53">IFERROR(C136+C139,"nd")</f>
        <v>15952</v>
      </c>
      <c r="D135" s="209">
        <f t="shared" si="53"/>
        <v>12771</v>
      </c>
      <c r="E135" s="209">
        <f t="shared" si="53"/>
        <v>33151</v>
      </c>
      <c r="F135" s="209">
        <f t="shared" si="53"/>
        <v>36262</v>
      </c>
      <c r="G135" s="209">
        <f t="shared" si="53"/>
        <v>37504</v>
      </c>
      <c r="H135" s="209">
        <f t="shared" si="53"/>
        <v>40689</v>
      </c>
      <c r="I135" s="210">
        <f>IFERROR(H135/G135-1,"-")</f>
        <v>8.4924274744027306E-2</v>
      </c>
      <c r="J135" s="209">
        <f>IFERROR(H135-G135,"-")</f>
        <v>3185</v>
      </c>
      <c r="K135" s="210">
        <f>IFERROR(H135/H$9,"-")</f>
        <v>4.3174101269046306E-2</v>
      </c>
    </row>
    <row r="136" spans="2:11" x14ac:dyDescent="0.25">
      <c r="B136" s="190" t="s">
        <v>99</v>
      </c>
      <c r="C136" s="191">
        <v>2865</v>
      </c>
      <c r="D136" s="191">
        <v>6046</v>
      </c>
      <c r="E136" s="191">
        <v>6655</v>
      </c>
      <c r="F136" s="191">
        <v>7504</v>
      </c>
      <c r="G136" s="191">
        <v>6553</v>
      </c>
      <c r="H136" s="191">
        <v>7633</v>
      </c>
      <c r="I136" s="211">
        <f>IFERROR(H136/G136-1,"-")</f>
        <v>0.16481001068213041</v>
      </c>
      <c r="J136" s="214">
        <f t="shared" ref="J136:J147" si="54">IFERROR(H136-G136,"-")</f>
        <v>1080</v>
      </c>
      <c r="K136" s="192">
        <f t="shared" ref="K136:K147" si="55">IFERROR(H136/H$9,"-")</f>
        <v>8.0991893383133146E-3</v>
      </c>
    </row>
    <row r="137" spans="2:11" x14ac:dyDescent="0.25">
      <c r="B137" s="194" t="s">
        <v>105</v>
      </c>
      <c r="C137" s="195">
        <v>2382</v>
      </c>
      <c r="D137" s="195">
        <v>3740</v>
      </c>
      <c r="E137" s="195">
        <v>4748</v>
      </c>
      <c r="F137" s="195">
        <v>5235</v>
      </c>
      <c r="G137" s="195">
        <v>4717</v>
      </c>
      <c r="H137" s="195">
        <v>4320</v>
      </c>
      <c r="I137" s="212">
        <f>IFERROR(H137/G137-1,"-")</f>
        <v>-8.416366334534664E-2</v>
      </c>
      <c r="J137" s="215">
        <f t="shared" si="54"/>
        <v>-397</v>
      </c>
      <c r="K137" s="196">
        <f t="shared" si="55"/>
        <v>4.5838461864946313E-3</v>
      </c>
    </row>
    <row r="138" spans="2:11" x14ac:dyDescent="0.25">
      <c r="B138" s="194" t="s">
        <v>102</v>
      </c>
      <c r="C138" s="195">
        <v>483</v>
      </c>
      <c r="D138" s="195">
        <v>2306</v>
      </c>
      <c r="E138" s="195">
        <v>1907</v>
      </c>
      <c r="F138" s="195">
        <v>2269</v>
      </c>
      <c r="G138" s="195">
        <v>1836</v>
      </c>
      <c r="H138" s="195">
        <v>3313</v>
      </c>
      <c r="I138" s="212">
        <f>IFERROR(H138/G138-1,"-")</f>
        <v>0.80446623093681913</v>
      </c>
      <c r="J138" s="215">
        <f t="shared" si="54"/>
        <v>1477</v>
      </c>
      <c r="K138" s="196">
        <f t="shared" si="55"/>
        <v>3.5153431518186833E-3</v>
      </c>
    </row>
    <row r="139" spans="2:11" x14ac:dyDescent="0.25">
      <c r="B139" s="190" t="s">
        <v>109</v>
      </c>
      <c r="C139" s="191">
        <v>13087</v>
      </c>
      <c r="D139" s="191">
        <v>6725</v>
      </c>
      <c r="E139" s="191">
        <v>26496</v>
      </c>
      <c r="F139" s="191">
        <v>28758</v>
      </c>
      <c r="G139" s="191">
        <v>30951</v>
      </c>
      <c r="H139" s="191">
        <v>33056</v>
      </c>
      <c r="I139" s="211">
        <f>IFERROR(H139/G139-1,"-")</f>
        <v>6.8010726632419027E-2</v>
      </c>
      <c r="J139" s="214">
        <f t="shared" si="54"/>
        <v>2105</v>
      </c>
      <c r="K139" s="192">
        <f t="shared" si="55"/>
        <v>3.5074911930732991E-2</v>
      </c>
    </row>
    <row r="140" spans="2:11" x14ac:dyDescent="0.25">
      <c r="B140" s="194" t="s">
        <v>112</v>
      </c>
      <c r="C140" s="195">
        <v>6329</v>
      </c>
      <c r="D140" s="195">
        <v>1193</v>
      </c>
      <c r="E140" s="195">
        <v>10268</v>
      </c>
      <c r="F140" s="195">
        <v>11443</v>
      </c>
      <c r="G140" s="195">
        <v>13604</v>
      </c>
      <c r="H140" s="195">
        <v>15559</v>
      </c>
      <c r="I140" s="212">
        <f t="shared" ref="I140:I147" si="56">IFERROR(H140/G140-1,"-")</f>
        <v>0.14370773301970008</v>
      </c>
      <c r="J140" s="215">
        <f t="shared" si="54"/>
        <v>1955</v>
      </c>
      <c r="K140" s="196">
        <f t="shared" si="55"/>
        <v>1.6509273799923601E-2</v>
      </c>
    </row>
    <row r="141" spans="2:11" x14ac:dyDescent="0.25">
      <c r="B141" s="194" t="s">
        <v>115</v>
      </c>
      <c r="C141" s="195">
        <v>720</v>
      </c>
      <c r="D141" s="195">
        <v>539</v>
      </c>
      <c r="E141" s="195">
        <v>2056</v>
      </c>
      <c r="F141" s="195">
        <v>1799</v>
      </c>
      <c r="G141" s="195">
        <v>1872</v>
      </c>
      <c r="H141" s="195">
        <v>1915</v>
      </c>
      <c r="I141" s="212">
        <f t="shared" si="56"/>
        <v>2.2970085470085388E-2</v>
      </c>
      <c r="J141" s="215">
        <f t="shared" si="54"/>
        <v>43</v>
      </c>
      <c r="K141" s="196">
        <f t="shared" si="55"/>
        <v>2.0319595942447266E-3</v>
      </c>
    </row>
    <row r="142" spans="2:11" x14ac:dyDescent="0.25">
      <c r="B142" s="194" t="s">
        <v>118</v>
      </c>
      <c r="C142" s="195">
        <v>544</v>
      </c>
      <c r="D142" s="195">
        <v>1332</v>
      </c>
      <c r="E142" s="195">
        <v>2880</v>
      </c>
      <c r="F142" s="195">
        <v>3182</v>
      </c>
      <c r="G142" s="195">
        <v>2917</v>
      </c>
      <c r="H142" s="195">
        <v>3130</v>
      </c>
      <c r="I142" s="212">
        <f t="shared" si="56"/>
        <v>7.3020226259856047E-2</v>
      </c>
      <c r="J142" s="215">
        <f t="shared" si="54"/>
        <v>213</v>
      </c>
      <c r="K142" s="196">
        <f t="shared" si="55"/>
        <v>3.3211663341963416E-3</v>
      </c>
    </row>
    <row r="143" spans="2:11" x14ac:dyDescent="0.25">
      <c r="B143" s="194" t="s">
        <v>125</v>
      </c>
      <c r="C143" s="195">
        <v>374</v>
      </c>
      <c r="D143" s="195">
        <v>195</v>
      </c>
      <c r="E143" s="195">
        <v>1374</v>
      </c>
      <c r="F143" s="195">
        <v>1142</v>
      </c>
      <c r="G143" s="195">
        <v>925</v>
      </c>
      <c r="H143" s="195">
        <v>1087</v>
      </c>
      <c r="I143" s="212">
        <f t="shared" si="56"/>
        <v>0.17513513513513512</v>
      </c>
      <c r="J143" s="215">
        <f t="shared" si="54"/>
        <v>162</v>
      </c>
      <c r="K143" s="196">
        <f t="shared" si="55"/>
        <v>1.1533890751665888E-3</v>
      </c>
    </row>
    <row r="144" spans="2:11" x14ac:dyDescent="0.25">
      <c r="B144" s="194" t="s">
        <v>121</v>
      </c>
      <c r="C144" s="195">
        <v>221</v>
      </c>
      <c r="D144" s="195">
        <v>121</v>
      </c>
      <c r="E144" s="195">
        <v>665</v>
      </c>
      <c r="F144" s="195">
        <v>550</v>
      </c>
      <c r="G144" s="195">
        <v>537</v>
      </c>
      <c r="H144" s="195">
        <v>599</v>
      </c>
      <c r="I144" s="212">
        <f t="shared" si="56"/>
        <v>0.11545623836126628</v>
      </c>
      <c r="J144" s="215">
        <f t="shared" si="54"/>
        <v>62</v>
      </c>
      <c r="K144" s="196">
        <f t="shared" si="55"/>
        <v>6.355842281736768E-4</v>
      </c>
    </row>
    <row r="145" spans="2:11" x14ac:dyDescent="0.25">
      <c r="B145" s="194" t="s">
        <v>130</v>
      </c>
      <c r="C145" s="195">
        <v>382</v>
      </c>
      <c r="D145" s="195">
        <v>31</v>
      </c>
      <c r="E145" s="195">
        <v>241</v>
      </c>
      <c r="F145" s="195">
        <v>308</v>
      </c>
      <c r="G145" s="195">
        <v>194</v>
      </c>
      <c r="H145" s="195">
        <v>293</v>
      </c>
      <c r="I145" s="212">
        <f t="shared" si="56"/>
        <v>0.51030927835051543</v>
      </c>
      <c r="J145" s="215">
        <f t="shared" si="54"/>
        <v>99</v>
      </c>
      <c r="K145" s="196">
        <f t="shared" si="55"/>
        <v>3.1089512329697381E-4</v>
      </c>
    </row>
    <row r="146" spans="2:11" x14ac:dyDescent="0.25">
      <c r="B146" s="194" t="s">
        <v>133</v>
      </c>
      <c r="C146" s="195">
        <v>656</v>
      </c>
      <c r="D146" s="195">
        <v>10</v>
      </c>
      <c r="E146" s="195">
        <v>184</v>
      </c>
      <c r="F146" s="195">
        <v>312</v>
      </c>
      <c r="G146" s="195">
        <v>329</v>
      </c>
      <c r="H146" s="195">
        <v>304</v>
      </c>
      <c r="I146" s="212">
        <f t="shared" si="56"/>
        <v>-7.5987841945288737E-2</v>
      </c>
      <c r="J146" s="215">
        <f t="shared" si="54"/>
        <v>-25</v>
      </c>
      <c r="K146" s="196">
        <f t="shared" si="55"/>
        <v>3.2256695386443697E-4</v>
      </c>
    </row>
    <row r="147" spans="2:11" x14ac:dyDescent="0.25">
      <c r="B147" s="199" t="s">
        <v>147</v>
      </c>
      <c r="C147" s="200">
        <f t="shared" ref="C147:H147" si="57">IFERROR(C139-SUM(C140:C146),"nd")</f>
        <v>3861</v>
      </c>
      <c r="D147" s="200">
        <f t="shared" si="57"/>
        <v>3304</v>
      </c>
      <c r="E147" s="200">
        <f t="shared" si="57"/>
        <v>8828</v>
      </c>
      <c r="F147" s="200">
        <f t="shared" si="57"/>
        <v>10022</v>
      </c>
      <c r="G147" s="200">
        <f t="shared" si="57"/>
        <v>10573</v>
      </c>
      <c r="H147" s="200">
        <f t="shared" si="57"/>
        <v>10169</v>
      </c>
      <c r="I147" s="213">
        <f t="shared" si="56"/>
        <v>-3.8210536271635287E-2</v>
      </c>
      <c r="J147" s="216">
        <f t="shared" si="54"/>
        <v>-404</v>
      </c>
      <c r="K147" s="201">
        <f t="shared" si="55"/>
        <v>1.0790076821866643E-2</v>
      </c>
    </row>
    <row r="148" spans="2:11" x14ac:dyDescent="0.25">
      <c r="B148" s="186" t="s">
        <v>55</v>
      </c>
      <c r="C148" s="184"/>
      <c r="D148" s="184"/>
      <c r="E148" s="184"/>
      <c r="F148" s="184"/>
      <c r="G148" s="184"/>
      <c r="H148" s="184"/>
      <c r="I148" s="185"/>
      <c r="J148" s="185"/>
      <c r="K148" s="184"/>
    </row>
    <row r="149" spans="2:11" x14ac:dyDescent="0.25">
      <c r="B149" s="187" t="s">
        <v>70</v>
      </c>
      <c r="C149" s="209">
        <f t="shared" ref="C149:H149" si="58">IFERROR(C150+C153,"nd")</f>
        <v>2071</v>
      </c>
      <c r="D149" s="209">
        <f t="shared" si="58"/>
        <v>1806</v>
      </c>
      <c r="E149" s="209">
        <f t="shared" si="58"/>
        <v>9827</v>
      </c>
      <c r="F149" s="209">
        <f t="shared" si="58"/>
        <v>13310</v>
      </c>
      <c r="G149" s="209">
        <f t="shared" si="58"/>
        <v>37891</v>
      </c>
      <c r="H149" s="209">
        <f t="shared" si="58"/>
        <v>37517</v>
      </c>
      <c r="I149" s="210">
        <f>IFERROR(H149/G149-1,"-")</f>
        <v>-9.8704177773085711E-3</v>
      </c>
      <c r="J149" s="209">
        <f>IFERROR(H149-G149,"-")</f>
        <v>-374</v>
      </c>
      <c r="K149" s="210">
        <f>IFERROR(H149/H$9,"-")</f>
        <v>3.980836976359238E-2</v>
      </c>
    </row>
    <row r="150" spans="2:11" x14ac:dyDescent="0.25">
      <c r="B150" s="190" t="s">
        <v>99</v>
      </c>
      <c r="C150" s="191">
        <v>405</v>
      </c>
      <c r="D150" s="191">
        <v>379</v>
      </c>
      <c r="E150" s="191">
        <v>2082</v>
      </c>
      <c r="F150" s="191">
        <v>3702</v>
      </c>
      <c r="G150" s="191">
        <v>4466</v>
      </c>
      <c r="H150" s="191">
        <v>5033</v>
      </c>
      <c r="I150" s="211">
        <f>IFERROR(H150/G150-1,"-")</f>
        <v>0.12695924764890276</v>
      </c>
      <c r="J150" s="214">
        <f t="shared" ref="J150:J161" si="59">IFERROR(H150-G150,"-")</f>
        <v>567</v>
      </c>
      <c r="K150" s="192">
        <f t="shared" ref="K150:K161" si="60">IFERROR(H150/H$9,"-")</f>
        <v>5.3403930223674713E-3</v>
      </c>
    </row>
    <row r="151" spans="2:11" x14ac:dyDescent="0.25">
      <c r="B151" s="194" t="s">
        <v>105</v>
      </c>
      <c r="C151" s="195">
        <v>294</v>
      </c>
      <c r="D151" s="195">
        <v>110</v>
      </c>
      <c r="E151" s="195">
        <v>619</v>
      </c>
      <c r="F151" s="195">
        <v>1764</v>
      </c>
      <c r="G151" s="195">
        <v>2825</v>
      </c>
      <c r="H151" s="195">
        <v>2541</v>
      </c>
      <c r="I151" s="212">
        <f>IFERROR(H151/G151-1,"-")</f>
        <v>-0.10053097345132744</v>
      </c>
      <c r="J151" s="215">
        <f t="shared" si="59"/>
        <v>-284</v>
      </c>
      <c r="K151" s="196">
        <f t="shared" si="60"/>
        <v>2.6961928610839949E-3</v>
      </c>
    </row>
    <row r="152" spans="2:11" x14ac:dyDescent="0.25">
      <c r="B152" s="194" t="s">
        <v>102</v>
      </c>
      <c r="C152" s="195">
        <v>111</v>
      </c>
      <c r="D152" s="195">
        <v>269</v>
      </c>
      <c r="E152" s="195">
        <v>1463</v>
      </c>
      <c r="F152" s="195">
        <v>1938</v>
      </c>
      <c r="G152" s="195">
        <v>1641</v>
      </c>
      <c r="H152" s="195">
        <v>2492</v>
      </c>
      <c r="I152" s="212">
        <f>IFERROR(H152/G152-1,"-")</f>
        <v>0.51858622790981102</v>
      </c>
      <c r="J152" s="215">
        <f t="shared" si="59"/>
        <v>851</v>
      </c>
      <c r="K152" s="196">
        <f t="shared" si="60"/>
        <v>2.6442001612834768E-3</v>
      </c>
    </row>
    <row r="153" spans="2:11" x14ac:dyDescent="0.25">
      <c r="B153" s="190" t="s">
        <v>109</v>
      </c>
      <c r="C153" s="191">
        <v>1666</v>
      </c>
      <c r="D153" s="191">
        <v>1427</v>
      </c>
      <c r="E153" s="191">
        <v>7745</v>
      </c>
      <c r="F153" s="191">
        <v>9608</v>
      </c>
      <c r="G153" s="191">
        <v>33425</v>
      </c>
      <c r="H153" s="191">
        <v>32484</v>
      </c>
      <c r="I153" s="211">
        <f>IFERROR(H153/G153-1,"-")</f>
        <v>-2.8152580403889349E-2</v>
      </c>
      <c r="J153" s="214">
        <f t="shared" si="59"/>
        <v>-941</v>
      </c>
      <c r="K153" s="192">
        <f t="shared" si="60"/>
        <v>3.4467976741224905E-2</v>
      </c>
    </row>
    <row r="154" spans="2:11" x14ac:dyDescent="0.25">
      <c r="B154" s="194" t="s">
        <v>112</v>
      </c>
      <c r="C154" s="195">
        <v>284</v>
      </c>
      <c r="D154" s="195">
        <v>515</v>
      </c>
      <c r="E154" s="195">
        <v>2661</v>
      </c>
      <c r="F154" s="195">
        <v>1917</v>
      </c>
      <c r="G154" s="195">
        <v>21641</v>
      </c>
      <c r="H154" s="195">
        <v>21046</v>
      </c>
      <c r="I154" s="212">
        <f t="shared" ref="I154:I161" si="61">IFERROR(H154/G154-1,"-")</f>
        <v>-2.7494108405341722E-2</v>
      </c>
      <c r="J154" s="215">
        <f t="shared" si="59"/>
        <v>-595</v>
      </c>
      <c r="K154" s="196">
        <f t="shared" si="60"/>
        <v>2.2331395102075463E-2</v>
      </c>
    </row>
    <row r="155" spans="2:11" x14ac:dyDescent="0.25">
      <c r="B155" s="194" t="s">
        <v>115</v>
      </c>
      <c r="C155" s="195">
        <v>434</v>
      </c>
      <c r="D155" s="195">
        <v>164</v>
      </c>
      <c r="E155" s="195">
        <v>1464</v>
      </c>
      <c r="F155" s="195">
        <v>2118</v>
      </c>
      <c r="G155" s="195">
        <v>2536</v>
      </c>
      <c r="H155" s="195">
        <v>1952</v>
      </c>
      <c r="I155" s="212">
        <f t="shared" si="61"/>
        <v>-0.2302839116719243</v>
      </c>
      <c r="J155" s="215">
        <f t="shared" si="59"/>
        <v>-584</v>
      </c>
      <c r="K155" s="196">
        <f t="shared" si="60"/>
        <v>2.0712193879716479E-3</v>
      </c>
    </row>
    <row r="156" spans="2:11" x14ac:dyDescent="0.25">
      <c r="B156" s="194" t="s">
        <v>118</v>
      </c>
      <c r="C156" s="195">
        <v>61</v>
      </c>
      <c r="D156" s="195">
        <v>86</v>
      </c>
      <c r="E156" s="195">
        <v>386</v>
      </c>
      <c r="F156" s="195">
        <v>1063</v>
      </c>
      <c r="G156" s="195">
        <v>975</v>
      </c>
      <c r="H156" s="195">
        <v>1112</v>
      </c>
      <c r="I156" s="212">
        <f t="shared" si="61"/>
        <v>0.14051282051282055</v>
      </c>
      <c r="J156" s="215">
        <f t="shared" si="59"/>
        <v>137</v>
      </c>
      <c r="K156" s="196">
        <f t="shared" si="60"/>
        <v>1.1799159628199142E-3</v>
      </c>
    </row>
    <row r="157" spans="2:11" x14ac:dyDescent="0.25">
      <c r="B157" s="194" t="s">
        <v>125</v>
      </c>
      <c r="C157" s="195">
        <v>30</v>
      </c>
      <c r="D157" s="195">
        <v>322</v>
      </c>
      <c r="E157" s="195">
        <v>913</v>
      </c>
      <c r="F157" s="195">
        <v>716</v>
      </c>
      <c r="G157" s="195">
        <v>2156</v>
      </c>
      <c r="H157" s="195">
        <v>2816</v>
      </c>
      <c r="I157" s="212">
        <f t="shared" si="61"/>
        <v>0.30612244897959173</v>
      </c>
      <c r="J157" s="215">
        <f t="shared" si="59"/>
        <v>660</v>
      </c>
      <c r="K157" s="196">
        <f t="shared" si="60"/>
        <v>2.987988625270574E-3</v>
      </c>
    </row>
    <row r="158" spans="2:11" x14ac:dyDescent="0.25">
      <c r="B158" s="194" t="s">
        <v>121</v>
      </c>
      <c r="C158" s="195">
        <v>39</v>
      </c>
      <c r="D158" s="195">
        <v>30</v>
      </c>
      <c r="E158" s="195">
        <v>251</v>
      </c>
      <c r="F158" s="195">
        <v>449</v>
      </c>
      <c r="G158" s="195">
        <v>429</v>
      </c>
      <c r="H158" s="195">
        <v>140</v>
      </c>
      <c r="I158" s="212">
        <f t="shared" si="61"/>
        <v>-0.67365967365967361</v>
      </c>
      <c r="J158" s="215">
        <f t="shared" si="59"/>
        <v>-289</v>
      </c>
      <c r="K158" s="196">
        <f t="shared" si="60"/>
        <v>1.4855057085862229E-4</v>
      </c>
    </row>
    <row r="159" spans="2:11" x14ac:dyDescent="0.25">
      <c r="B159" s="194" t="s">
        <v>130</v>
      </c>
      <c r="C159" s="195">
        <v>152</v>
      </c>
      <c r="D159" s="195">
        <v>1</v>
      </c>
      <c r="E159" s="195">
        <v>183</v>
      </c>
      <c r="F159" s="195">
        <v>185</v>
      </c>
      <c r="G159" s="195">
        <v>625</v>
      </c>
      <c r="H159" s="195">
        <v>858</v>
      </c>
      <c r="I159" s="212">
        <f t="shared" si="61"/>
        <v>0.37280000000000002</v>
      </c>
      <c r="J159" s="215">
        <f t="shared" si="59"/>
        <v>233</v>
      </c>
      <c r="K159" s="196">
        <f t="shared" si="60"/>
        <v>9.1040278426212805E-4</v>
      </c>
    </row>
    <row r="160" spans="2:11" x14ac:dyDescent="0.25">
      <c r="B160" s="194" t="s">
        <v>133</v>
      </c>
      <c r="C160" s="195">
        <v>159</v>
      </c>
      <c r="D160" s="195">
        <v>0</v>
      </c>
      <c r="E160" s="195">
        <v>155</v>
      </c>
      <c r="F160" s="195">
        <v>70</v>
      </c>
      <c r="G160" s="195">
        <v>1591</v>
      </c>
      <c r="H160" s="195">
        <v>1511</v>
      </c>
      <c r="I160" s="212">
        <f t="shared" si="61"/>
        <v>-5.0282840980515386E-2</v>
      </c>
      <c r="J160" s="215">
        <f t="shared" si="59"/>
        <v>-80</v>
      </c>
      <c r="K160" s="196">
        <f t="shared" si="60"/>
        <v>1.6032850897669878E-3</v>
      </c>
    </row>
    <row r="161" spans="2:11" x14ac:dyDescent="0.25">
      <c r="B161" s="199" t="s">
        <v>147</v>
      </c>
      <c r="C161" s="200">
        <f t="shared" ref="C161:H161" si="62">IFERROR(C153-SUM(C154:C160),"nd")</f>
        <v>507</v>
      </c>
      <c r="D161" s="200">
        <f t="shared" si="62"/>
        <v>309</v>
      </c>
      <c r="E161" s="200">
        <f t="shared" si="62"/>
        <v>1732</v>
      </c>
      <c r="F161" s="200">
        <f t="shared" si="62"/>
        <v>3090</v>
      </c>
      <c r="G161" s="200">
        <f t="shared" si="62"/>
        <v>3472</v>
      </c>
      <c r="H161" s="200">
        <f t="shared" si="62"/>
        <v>3049</v>
      </c>
      <c r="I161" s="213">
        <f t="shared" si="61"/>
        <v>-0.12183179723502302</v>
      </c>
      <c r="J161" s="216">
        <f t="shared" si="59"/>
        <v>-423</v>
      </c>
      <c r="K161" s="201">
        <f t="shared" si="60"/>
        <v>3.235219218199567E-3</v>
      </c>
    </row>
    <row r="162" spans="2:11" x14ac:dyDescent="0.25">
      <c r="C162" s="103"/>
      <c r="D162" s="103"/>
      <c r="E162" s="103"/>
      <c r="F162" s="103"/>
      <c r="G162" s="103"/>
      <c r="H162" s="103"/>
      <c r="I162" s="103"/>
    </row>
    <row r="163" spans="2:11" x14ac:dyDescent="0.25">
      <c r="B163" s="131" t="s">
        <v>57</v>
      </c>
      <c r="C163" s="131"/>
      <c r="D163" s="131"/>
      <c r="E163" s="131"/>
      <c r="F163" s="131"/>
      <c r="G163" s="131"/>
      <c r="H163" s="131"/>
      <c r="I163" s="131"/>
      <c r="J163" s="131"/>
      <c r="K163" s="131"/>
    </row>
  </sheetData>
  <mergeCells count="3">
    <mergeCell ref="B4:I4"/>
    <mergeCell ref="C6:K6"/>
    <mergeCell ref="O6:W6"/>
  </mergeCells>
  <pageMargins left="0.25" right="0.25" top="0.75" bottom="0.75" header="0.3" footer="0.3"/>
  <pageSetup paperSize="9" scale="88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E62DF-6FB6-462E-AA3E-FA6DCA7EE947}">
  <sheetPr>
    <tabColor theme="7" tint="0.79998168889431442"/>
    <pageSetUpPr fitToPage="1"/>
  </sheetPr>
  <dimension ref="A1:Y163"/>
  <sheetViews>
    <sheetView showGridLines="0" workbookViewId="0">
      <selection activeCell="G10" sqref="G10"/>
    </sheetView>
  </sheetViews>
  <sheetFormatPr baseColWidth="10" defaultRowHeight="15" x14ac:dyDescent="0.25"/>
  <cols>
    <col min="1" max="1" width="15.5703125" customWidth="1"/>
    <col min="2" max="2" width="30.140625" customWidth="1"/>
    <col min="3" max="6" width="11.7109375" customWidth="1"/>
    <col min="7" max="8" width="11" customWidth="1"/>
    <col min="9" max="10" width="10.5703125" customWidth="1"/>
    <col min="11" max="14" width="11.7109375" customWidth="1"/>
    <col min="15" max="16" width="11" customWidth="1"/>
    <col min="17" max="18" width="10.5703125" customWidth="1"/>
    <col min="19" max="21" width="11.7109375" customWidth="1"/>
    <col min="22" max="23" width="11" customWidth="1"/>
    <col min="24" max="25" width="10.5703125" customWidth="1"/>
  </cols>
  <sheetData>
    <row r="1" spans="1:25" ht="42.75" customHeight="1" x14ac:dyDescent="0.25"/>
    <row r="3" spans="1:25" ht="42" customHeight="1" thickBot="1" x14ac:dyDescent="0.3">
      <c r="B3" s="172" t="str">
        <f>CONCATENATE("Viajeros entrados en los establecimientos hoteleros de Tenerife según lugar de residencia, categoría y municipio del alojamiento")</f>
        <v>Viajeros entrados en los establecimientos hoteleros de Tenerife según lugar de residencia, categoría y municipio del alojamiento</v>
      </c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</row>
    <row r="4" spans="1:25" ht="6" customHeight="1" x14ac:dyDescent="0.25"/>
    <row r="5" spans="1:25" ht="15.75" x14ac:dyDescent="0.25">
      <c r="B5" s="217"/>
      <c r="C5" s="203" t="s">
        <v>64</v>
      </c>
      <c r="D5" s="204"/>
      <c r="E5" s="204"/>
      <c r="F5" s="204"/>
      <c r="G5" s="204"/>
      <c r="H5" s="204"/>
      <c r="I5" s="204"/>
      <c r="J5" s="204"/>
      <c r="K5" s="203" t="s">
        <v>63</v>
      </c>
      <c r="L5" s="204"/>
      <c r="M5" s="204"/>
      <c r="N5" s="204"/>
      <c r="O5" s="204"/>
      <c r="P5" s="204"/>
      <c r="Q5" s="204"/>
      <c r="R5" s="204"/>
      <c r="S5" s="203" t="s">
        <v>139</v>
      </c>
      <c r="T5" s="204"/>
      <c r="U5" s="204"/>
      <c r="V5" s="204"/>
      <c r="W5" s="204"/>
      <c r="X5" s="204"/>
      <c r="Y5" s="204"/>
    </row>
    <row r="6" spans="1:25" s="177" customFormat="1" ht="72" customHeight="1" x14ac:dyDescent="0.25">
      <c r="B6" s="178"/>
      <c r="C6" s="205" t="s">
        <v>265</v>
      </c>
      <c r="D6" s="205" t="s">
        <v>266</v>
      </c>
      <c r="E6" s="205" t="s">
        <v>267</v>
      </c>
      <c r="F6" s="205" t="s">
        <v>268</v>
      </c>
      <c r="G6" s="205" t="s">
        <v>269</v>
      </c>
      <c r="H6" s="205" t="s">
        <v>270</v>
      </c>
      <c r="I6" s="206" t="str">
        <f>CONCATENATE("var. ",RIGHT(H6,2),"/",RIGHT(G6,2))</f>
        <v>var. 25/24</v>
      </c>
      <c r="J6" s="206" t="str">
        <f>CONCATENATE("Cuota s/ total lugares de residencia ",RIGHT(H6,4))</f>
        <v>Cuota s/ total lugares de residencia 2025</v>
      </c>
      <c r="K6" s="205" t="s">
        <v>265</v>
      </c>
      <c r="L6" s="205" t="s">
        <v>266</v>
      </c>
      <c r="M6" s="205" t="s">
        <v>267</v>
      </c>
      <c r="N6" s="205" t="s">
        <v>268</v>
      </c>
      <c r="O6" s="205" t="s">
        <v>269</v>
      </c>
      <c r="P6" s="205" t="s">
        <v>270</v>
      </c>
      <c r="Q6" s="206" t="str">
        <f>CONCATENATE("var. ",RIGHT(P6,2),"/",RIGHT(O6,2))</f>
        <v>var. 25/24</v>
      </c>
      <c r="R6" s="206" t="str">
        <f>CONCATENATE("Cuota s/ total lugares de residencia ",RIGHT(P6,4))</f>
        <v>Cuota s/ total lugares de residencia 2025</v>
      </c>
      <c r="S6" s="205" t="s">
        <v>265</v>
      </c>
      <c r="T6" s="205" t="s">
        <v>267</v>
      </c>
      <c r="U6" s="205" t="s">
        <v>268</v>
      </c>
      <c r="V6" s="205" t="s">
        <v>269</v>
      </c>
      <c r="W6" s="205" t="s">
        <v>270</v>
      </c>
      <c r="X6" s="206" t="str">
        <f>CONCATENATE("var. ",RIGHT(W6,2),"/",RIGHT(V6,2))</f>
        <v>var. 25/24</v>
      </c>
      <c r="Y6" s="206" t="str">
        <f>CONCATENATE("Cuota s/ total lugares de residencia ",RIGHT(W6,4))</f>
        <v>Cuota s/ total lugares de residencia 2025</v>
      </c>
    </row>
    <row r="7" spans="1:25" x14ac:dyDescent="0.25">
      <c r="A7" s="1"/>
      <c r="B7" s="183" t="s">
        <v>45</v>
      </c>
      <c r="C7" s="184"/>
      <c r="D7" s="184"/>
      <c r="E7" s="184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</row>
    <row r="8" spans="1:25" x14ac:dyDescent="0.25">
      <c r="A8" s="1"/>
      <c r="B8" s="187" t="s">
        <v>70</v>
      </c>
      <c r="C8" s="209">
        <f t="shared" ref="C8:H8" si="0">C9+C12</f>
        <v>206657</v>
      </c>
      <c r="D8" s="209">
        <f t="shared" si="0"/>
        <v>182034</v>
      </c>
      <c r="E8" s="209">
        <f t="shared" si="0"/>
        <v>490489</v>
      </c>
      <c r="F8" s="209">
        <f t="shared" si="0"/>
        <v>544113</v>
      </c>
      <c r="G8" s="209">
        <f t="shared" si="0"/>
        <v>563412</v>
      </c>
      <c r="H8" s="209">
        <f t="shared" si="0"/>
        <v>563238</v>
      </c>
      <c r="I8" s="210">
        <f>IFERROR(H8/G8-1,"-")</f>
        <v>-3.0883261272385276E-4</v>
      </c>
      <c r="J8" s="210">
        <f t="shared" ref="J8:J20" si="1">H8/H$8</f>
        <v>1</v>
      </c>
      <c r="K8" s="209">
        <f t="shared" ref="K8:P8" si="2">K9+K12</f>
        <v>795657</v>
      </c>
      <c r="L8" s="209">
        <f t="shared" si="2"/>
        <v>856378</v>
      </c>
      <c r="M8" s="209">
        <f t="shared" si="2"/>
        <v>2279770</v>
      </c>
      <c r="N8" s="209">
        <f t="shared" si="2"/>
        <v>2487865</v>
      </c>
      <c r="O8" s="209">
        <f t="shared" si="2"/>
        <v>2634612</v>
      </c>
      <c r="P8" s="209">
        <f t="shared" si="2"/>
        <v>2566113</v>
      </c>
      <c r="Q8" s="210">
        <f>IFERROR(P8/O8-1,"-")</f>
        <v>-2.5999653838971404E-2</v>
      </c>
      <c r="R8" s="210">
        <f t="shared" ref="R8:R20" si="3">P8/P$8</f>
        <v>1</v>
      </c>
      <c r="S8" s="209">
        <f>S9+S12</f>
        <v>1002314</v>
      </c>
      <c r="T8" s="209">
        <f>T9+T12</f>
        <v>2770259</v>
      </c>
      <c r="U8" s="209">
        <f>U9+U12</f>
        <v>3031978</v>
      </c>
      <c r="V8" s="209">
        <f>V9+V12</f>
        <v>3198024</v>
      </c>
      <c r="W8" s="209">
        <f>W9+W12</f>
        <v>3129351</v>
      </c>
      <c r="X8" s="210">
        <f>IFERROR(W8/V8-1,"-")</f>
        <v>-2.147357243097614E-2</v>
      </c>
      <c r="Y8" s="210">
        <f>W8/W$8</f>
        <v>1</v>
      </c>
    </row>
    <row r="9" spans="1:25" x14ac:dyDescent="0.25">
      <c r="A9" s="1"/>
      <c r="B9" s="190" t="s">
        <v>99</v>
      </c>
      <c r="C9" s="191">
        <v>63026</v>
      </c>
      <c r="D9" s="191">
        <v>85270</v>
      </c>
      <c r="E9" s="191">
        <v>133164</v>
      </c>
      <c r="F9" s="191">
        <v>160810</v>
      </c>
      <c r="G9" s="191">
        <v>166766</v>
      </c>
      <c r="H9" s="191">
        <v>158272</v>
      </c>
      <c r="I9" s="192">
        <f>IFERROR(H9/G9-1,"-")</f>
        <v>-5.0933643548445096E-2</v>
      </c>
      <c r="J9" s="192">
        <f t="shared" si="1"/>
        <v>0.28100376750148248</v>
      </c>
      <c r="K9" s="191">
        <v>228825</v>
      </c>
      <c r="L9" s="191">
        <v>412198</v>
      </c>
      <c r="M9" s="191">
        <v>540915</v>
      </c>
      <c r="N9" s="191">
        <v>536888</v>
      </c>
      <c r="O9" s="191">
        <v>527976</v>
      </c>
      <c r="P9" s="191">
        <v>532695</v>
      </c>
      <c r="Q9" s="192">
        <f>IFERROR(P9/O9-1,"-")</f>
        <v>8.9379062684666888E-3</v>
      </c>
      <c r="R9" s="192">
        <f t="shared" si="3"/>
        <v>0.20758828625239809</v>
      </c>
      <c r="S9" s="191">
        <v>291851</v>
      </c>
      <c r="T9" s="191">
        <v>674079</v>
      </c>
      <c r="U9" s="191">
        <v>697698</v>
      </c>
      <c r="V9" s="191">
        <v>694742</v>
      </c>
      <c r="W9" s="191">
        <v>690967</v>
      </c>
      <c r="X9" s="192">
        <f>IFERROR(W9/V9-1,"-")</f>
        <v>-5.4336717803156187E-3</v>
      </c>
      <c r="Y9" s="192">
        <f>W9/W$8</f>
        <v>0.22080201294134152</v>
      </c>
    </row>
    <row r="10" spans="1:25" x14ac:dyDescent="0.25">
      <c r="A10" s="193"/>
      <c r="B10" s="194" t="s">
        <v>105</v>
      </c>
      <c r="C10" s="195">
        <v>27532</v>
      </c>
      <c r="D10" s="195">
        <v>56364</v>
      </c>
      <c r="E10" s="195">
        <v>76620</v>
      </c>
      <c r="F10" s="195">
        <v>91437</v>
      </c>
      <c r="G10" s="195">
        <v>94400</v>
      </c>
      <c r="H10" s="195">
        <v>83745</v>
      </c>
      <c r="I10" s="196">
        <f>IFERROR(H10/G10-1,"-")</f>
        <v>-0.11287076271186436</v>
      </c>
      <c r="J10" s="196">
        <f t="shared" si="1"/>
        <v>0.1486849253779042</v>
      </c>
      <c r="K10" s="195">
        <v>80020</v>
      </c>
      <c r="L10" s="195">
        <v>192429</v>
      </c>
      <c r="M10" s="195">
        <v>189053</v>
      </c>
      <c r="N10" s="195">
        <v>182067</v>
      </c>
      <c r="O10" s="195">
        <v>175239</v>
      </c>
      <c r="P10" s="195">
        <v>182312</v>
      </c>
      <c r="Q10" s="196">
        <f>IFERROR(P10/O10-1,"-")</f>
        <v>4.0362019870006094E-2</v>
      </c>
      <c r="R10" s="196">
        <f t="shared" si="3"/>
        <v>7.1045974982395552E-2</v>
      </c>
      <c r="S10" s="195">
        <v>107552</v>
      </c>
      <c r="T10" s="195">
        <v>265673</v>
      </c>
      <c r="U10" s="195">
        <v>273504</v>
      </c>
      <c r="V10" s="195">
        <v>269639</v>
      </c>
      <c r="W10" s="195">
        <v>266057</v>
      </c>
      <c r="X10" s="196">
        <f>IFERROR(W10/V10-1,"-")</f>
        <v>-1.3284428439506168E-2</v>
      </c>
      <c r="Y10" s="196">
        <f>W10/W$8</f>
        <v>8.5019865141366377E-2</v>
      </c>
    </row>
    <row r="11" spans="1:25" x14ac:dyDescent="0.25">
      <c r="A11" s="193"/>
      <c r="B11" s="194" t="s">
        <v>102</v>
      </c>
      <c r="C11" s="195">
        <v>35494</v>
      </c>
      <c r="D11" s="195">
        <v>28906</v>
      </c>
      <c r="E11" s="195">
        <v>56544</v>
      </c>
      <c r="F11" s="195">
        <v>69373</v>
      </c>
      <c r="G11" s="195">
        <v>72366</v>
      </c>
      <c r="H11" s="195">
        <v>74527</v>
      </c>
      <c r="I11" s="196">
        <f>IFERROR(H11/G11-1,"-")</f>
        <v>2.9862089931735891E-2</v>
      </c>
      <c r="J11" s="196">
        <f t="shared" si="1"/>
        <v>0.13231884212357831</v>
      </c>
      <c r="K11" s="195">
        <v>148805</v>
      </c>
      <c r="L11" s="195">
        <v>219769</v>
      </c>
      <c r="M11" s="195">
        <v>351862</v>
      </c>
      <c r="N11" s="195">
        <v>354821</v>
      </c>
      <c r="O11" s="195">
        <v>352737</v>
      </c>
      <c r="P11" s="195">
        <v>350383</v>
      </c>
      <c r="Q11" s="196">
        <f>IFERROR(P11/O11-1,"-")</f>
        <v>-6.6735273022110464E-3</v>
      </c>
      <c r="R11" s="196">
        <f t="shared" si="3"/>
        <v>0.13654231127000252</v>
      </c>
      <c r="S11" s="195">
        <v>184299</v>
      </c>
      <c r="T11" s="195">
        <v>408406</v>
      </c>
      <c r="U11" s="195">
        <v>424194</v>
      </c>
      <c r="V11" s="195">
        <v>425103</v>
      </c>
      <c r="W11" s="195">
        <v>424910</v>
      </c>
      <c r="X11" s="196">
        <f>IFERROR(W11/V11-1,"-")</f>
        <v>-4.5400761697755865E-4</v>
      </c>
      <c r="Y11" s="196">
        <f>W11/W$8</f>
        <v>0.13578214779997513</v>
      </c>
    </row>
    <row r="12" spans="1:25" x14ac:dyDescent="0.25">
      <c r="A12" s="1"/>
      <c r="B12" s="190" t="s">
        <v>109</v>
      </c>
      <c r="C12" s="191">
        <v>143631</v>
      </c>
      <c r="D12" s="191">
        <v>96764</v>
      </c>
      <c r="E12" s="191">
        <v>357325</v>
      </c>
      <c r="F12" s="191">
        <v>383303</v>
      </c>
      <c r="G12" s="191">
        <v>396646</v>
      </c>
      <c r="H12" s="191">
        <v>404966</v>
      </c>
      <c r="I12" s="192">
        <f>IFERROR(H12/G12-1,"-")</f>
        <v>2.0975882777085841E-2</v>
      </c>
      <c r="J12" s="192">
        <f t="shared" si="1"/>
        <v>0.71899623249851752</v>
      </c>
      <c r="K12" s="191">
        <v>566832</v>
      </c>
      <c r="L12" s="191">
        <v>444180</v>
      </c>
      <c r="M12" s="191">
        <v>1738855</v>
      </c>
      <c r="N12" s="191">
        <v>1950977</v>
      </c>
      <c r="O12" s="191">
        <v>2106636</v>
      </c>
      <c r="P12" s="191">
        <v>2033418</v>
      </c>
      <c r="Q12" s="192">
        <f>IFERROR(P12/O12-1,"-")</f>
        <v>-3.4755885686943544E-2</v>
      </c>
      <c r="R12" s="192">
        <f t="shared" si="3"/>
        <v>0.79241171374760189</v>
      </c>
      <c r="S12" s="191">
        <v>710463</v>
      </c>
      <c r="T12" s="191">
        <v>2096180</v>
      </c>
      <c r="U12" s="191">
        <v>2334280</v>
      </c>
      <c r="V12" s="191">
        <v>2503282</v>
      </c>
      <c r="W12" s="191">
        <v>2438384</v>
      </c>
      <c r="X12" s="192">
        <f>IFERROR(W12/V12-1,"-")</f>
        <v>-2.5925165442806652E-2</v>
      </c>
      <c r="Y12" s="192">
        <f>W12/W$8</f>
        <v>0.7791979870586585</v>
      </c>
    </row>
    <row r="13" spans="1:25" s="74" customFormat="1" x14ac:dyDescent="0.25">
      <c r="B13" s="194" t="s">
        <v>112</v>
      </c>
      <c r="C13" s="195">
        <v>46785</v>
      </c>
      <c r="D13" s="195">
        <v>17307</v>
      </c>
      <c r="E13" s="195">
        <v>135105</v>
      </c>
      <c r="F13" s="195">
        <v>152246</v>
      </c>
      <c r="G13" s="195">
        <v>152422</v>
      </c>
      <c r="H13" s="195">
        <v>149410</v>
      </c>
      <c r="I13" s="196">
        <f t="shared" ref="I13:I20" si="4">IFERROR(H13/G13-1,"-")</f>
        <v>-1.9760926900316278E-2</v>
      </c>
      <c r="J13" s="196">
        <f t="shared" si="1"/>
        <v>0.26526974387381536</v>
      </c>
      <c r="K13" s="195">
        <v>220258</v>
      </c>
      <c r="L13" s="195">
        <v>88327</v>
      </c>
      <c r="M13" s="195">
        <v>834684</v>
      </c>
      <c r="N13" s="195">
        <v>928553</v>
      </c>
      <c r="O13" s="195">
        <v>997105</v>
      </c>
      <c r="P13" s="195">
        <v>974740</v>
      </c>
      <c r="Q13" s="196">
        <f t="shared" ref="Q13:Q20" si="5">IFERROR(P13/O13-1,"-")</f>
        <v>-2.2429934660843087E-2</v>
      </c>
      <c r="R13" s="196">
        <f t="shared" si="3"/>
        <v>0.37985077040644744</v>
      </c>
      <c r="S13" s="195">
        <v>267043</v>
      </c>
      <c r="T13" s="195">
        <v>969789</v>
      </c>
      <c r="U13" s="195">
        <v>1080799</v>
      </c>
      <c r="V13" s="195">
        <v>1149527</v>
      </c>
      <c r="W13" s="195">
        <v>1124150</v>
      </c>
      <c r="X13" s="196">
        <f t="shared" ref="X13:X20" si="6">IFERROR(W13/V13-1,"-")</f>
        <v>-2.2076036491530893E-2</v>
      </c>
      <c r="Y13" s="196">
        <f t="shared" ref="Y13:Y20" si="7">W13/W$8</f>
        <v>0.35922783989395884</v>
      </c>
    </row>
    <row r="14" spans="1:25" s="74" customFormat="1" x14ac:dyDescent="0.25">
      <c r="B14" s="194" t="s">
        <v>115</v>
      </c>
      <c r="C14" s="195">
        <v>21287</v>
      </c>
      <c r="D14" s="195">
        <v>18420</v>
      </c>
      <c r="E14" s="195">
        <v>44395</v>
      </c>
      <c r="F14" s="195">
        <v>50829</v>
      </c>
      <c r="G14" s="195">
        <v>51984</v>
      </c>
      <c r="H14" s="195">
        <v>53721</v>
      </c>
      <c r="I14" s="196">
        <f t="shared" si="4"/>
        <v>3.3414127423822659E-2</v>
      </c>
      <c r="J14" s="196">
        <f t="shared" si="1"/>
        <v>9.5378862931833439E-2</v>
      </c>
      <c r="K14" s="195">
        <v>81653</v>
      </c>
      <c r="L14" s="195">
        <v>72712</v>
      </c>
      <c r="M14" s="195">
        <v>190050</v>
      </c>
      <c r="N14" s="195">
        <v>218113</v>
      </c>
      <c r="O14" s="195">
        <v>225157</v>
      </c>
      <c r="P14" s="195">
        <v>215468</v>
      </c>
      <c r="Q14" s="196">
        <f t="shared" si="5"/>
        <v>-4.3032195312604049E-2</v>
      </c>
      <c r="R14" s="196">
        <f t="shared" si="3"/>
        <v>8.3966684241886469E-2</v>
      </c>
      <c r="S14" s="195">
        <v>102940</v>
      </c>
      <c r="T14" s="195">
        <v>234445</v>
      </c>
      <c r="U14" s="195">
        <v>268942</v>
      </c>
      <c r="V14" s="195">
        <v>277141</v>
      </c>
      <c r="W14" s="195">
        <v>269189</v>
      </c>
      <c r="X14" s="196">
        <f t="shared" si="6"/>
        <v>-2.8692975777672713E-2</v>
      </c>
      <c r="Y14" s="196">
        <f t="shared" si="7"/>
        <v>8.6020711642765549E-2</v>
      </c>
    </row>
    <row r="15" spans="1:25" x14ac:dyDescent="0.25">
      <c r="A15" s="1"/>
      <c r="B15" s="194" t="s">
        <v>118</v>
      </c>
      <c r="C15" s="195">
        <v>9288</v>
      </c>
      <c r="D15" s="195">
        <v>13149</v>
      </c>
      <c r="E15" s="195">
        <v>23828</v>
      </c>
      <c r="F15" s="195">
        <v>26293</v>
      </c>
      <c r="G15" s="195">
        <v>25148</v>
      </c>
      <c r="H15" s="195">
        <v>26866</v>
      </c>
      <c r="I15" s="196">
        <f t="shared" si="4"/>
        <v>6.8315571814856035E-2</v>
      </c>
      <c r="J15" s="196">
        <f t="shared" si="1"/>
        <v>4.7699196432058916E-2</v>
      </c>
      <c r="K15" s="195">
        <v>30162</v>
      </c>
      <c r="L15" s="195">
        <v>52248</v>
      </c>
      <c r="M15" s="195">
        <v>97158</v>
      </c>
      <c r="N15" s="195">
        <v>105684</v>
      </c>
      <c r="O15" s="195">
        <v>120242</v>
      </c>
      <c r="P15" s="195">
        <v>111784</v>
      </c>
      <c r="Q15" s="196">
        <f t="shared" si="5"/>
        <v>-7.0341478019327663E-2</v>
      </c>
      <c r="R15" s="196">
        <f t="shared" si="3"/>
        <v>4.3561604652640001E-2</v>
      </c>
      <c r="S15" s="195">
        <v>39450</v>
      </c>
      <c r="T15" s="195">
        <v>120986</v>
      </c>
      <c r="U15" s="195">
        <v>131977</v>
      </c>
      <c r="V15" s="195">
        <v>145390</v>
      </c>
      <c r="W15" s="195">
        <v>138650</v>
      </c>
      <c r="X15" s="196">
        <f t="shared" si="6"/>
        <v>-4.6358071394181133E-2</v>
      </c>
      <c r="Y15" s="196">
        <f t="shared" si="7"/>
        <v>4.4306311436460785E-2</v>
      </c>
    </row>
    <row r="16" spans="1:25" x14ac:dyDescent="0.25">
      <c r="A16" s="1"/>
      <c r="B16" s="194" t="s">
        <v>125</v>
      </c>
      <c r="C16" s="195">
        <v>4149</v>
      </c>
      <c r="D16" s="195">
        <v>2771</v>
      </c>
      <c r="E16" s="195">
        <v>14530</v>
      </c>
      <c r="F16" s="195">
        <v>10452</v>
      </c>
      <c r="G16" s="195">
        <v>10045</v>
      </c>
      <c r="H16" s="195">
        <v>9716</v>
      </c>
      <c r="I16" s="196">
        <f t="shared" si="4"/>
        <v>-3.2752613240418116E-2</v>
      </c>
      <c r="J16" s="196">
        <f t="shared" si="1"/>
        <v>1.725025655229228E-2</v>
      </c>
      <c r="K16" s="195">
        <v>21111</v>
      </c>
      <c r="L16" s="195">
        <v>28283</v>
      </c>
      <c r="M16" s="195">
        <v>81146</v>
      </c>
      <c r="N16" s="195">
        <v>76710</v>
      </c>
      <c r="O16" s="195">
        <v>84668</v>
      </c>
      <c r="P16" s="195">
        <v>78773</v>
      </c>
      <c r="Q16" s="196">
        <f t="shared" si="5"/>
        <v>-6.9624887797042567E-2</v>
      </c>
      <c r="R16" s="196">
        <f t="shared" si="3"/>
        <v>3.0697401088728361E-2</v>
      </c>
      <c r="S16" s="195">
        <v>25260</v>
      </c>
      <c r="T16" s="195">
        <v>95676</v>
      </c>
      <c r="U16" s="195">
        <v>87162</v>
      </c>
      <c r="V16" s="195">
        <v>94713</v>
      </c>
      <c r="W16" s="195">
        <v>88489</v>
      </c>
      <c r="X16" s="196">
        <f t="shared" si="6"/>
        <v>-6.5714315880607721E-2</v>
      </c>
      <c r="Y16" s="196">
        <f t="shared" si="7"/>
        <v>2.8277109215297358E-2</v>
      </c>
    </row>
    <row r="17" spans="1:25" x14ac:dyDescent="0.25">
      <c r="A17" s="74"/>
      <c r="B17" s="194" t="s">
        <v>121</v>
      </c>
      <c r="C17" s="195">
        <v>4665</v>
      </c>
      <c r="D17" s="195">
        <v>2821</v>
      </c>
      <c r="E17" s="195">
        <v>7603</v>
      </c>
      <c r="F17" s="195">
        <v>7311</v>
      </c>
      <c r="G17" s="195">
        <v>6802</v>
      </c>
      <c r="H17" s="195">
        <v>7155</v>
      </c>
      <c r="I17" s="196">
        <f t="shared" si="4"/>
        <v>5.1896501029109032E-2</v>
      </c>
      <c r="J17" s="196">
        <f t="shared" si="1"/>
        <v>1.270333322680643E-2</v>
      </c>
      <c r="K17" s="195">
        <v>37509</v>
      </c>
      <c r="L17" s="195">
        <v>37313</v>
      </c>
      <c r="M17" s="195">
        <v>87782</v>
      </c>
      <c r="N17" s="195">
        <v>90041</v>
      </c>
      <c r="O17" s="195">
        <v>95977</v>
      </c>
      <c r="P17" s="195">
        <v>86455</v>
      </c>
      <c r="Q17" s="196">
        <f t="shared" si="5"/>
        <v>-9.9211269366619059E-2</v>
      </c>
      <c r="R17" s="196">
        <f t="shared" si="3"/>
        <v>3.3691033871072709E-2</v>
      </c>
      <c r="S17" s="195">
        <v>42174</v>
      </c>
      <c r="T17" s="195">
        <v>95385</v>
      </c>
      <c r="U17" s="195">
        <v>97352</v>
      </c>
      <c r="V17" s="195">
        <v>102779</v>
      </c>
      <c r="W17" s="195">
        <v>93610</v>
      </c>
      <c r="X17" s="196">
        <f t="shared" si="6"/>
        <v>-8.9210831006333979E-2</v>
      </c>
      <c r="Y17" s="196">
        <f t="shared" si="7"/>
        <v>2.9913550764998877E-2</v>
      </c>
    </row>
    <row r="18" spans="1:25" x14ac:dyDescent="0.25">
      <c r="A18" s="74"/>
      <c r="B18" s="194" t="s">
        <v>130</v>
      </c>
      <c r="C18" s="195">
        <v>3296</v>
      </c>
      <c r="D18" s="195">
        <v>296</v>
      </c>
      <c r="E18" s="195">
        <v>3891</v>
      </c>
      <c r="F18" s="195">
        <v>4488</v>
      </c>
      <c r="G18" s="195">
        <v>3508</v>
      </c>
      <c r="H18" s="195">
        <v>3591</v>
      </c>
      <c r="I18" s="196">
        <f t="shared" si="4"/>
        <v>2.3660205245153998E-2</v>
      </c>
      <c r="J18" s="196">
        <f t="shared" si="1"/>
        <v>6.3756351666613403E-3</v>
      </c>
      <c r="K18" s="195">
        <v>14792</v>
      </c>
      <c r="L18" s="195">
        <v>1765</v>
      </c>
      <c r="M18" s="195">
        <v>20832</v>
      </c>
      <c r="N18" s="195">
        <v>26366</v>
      </c>
      <c r="O18" s="195">
        <v>24615</v>
      </c>
      <c r="P18" s="195">
        <v>23153</v>
      </c>
      <c r="Q18" s="196">
        <f t="shared" si="5"/>
        <v>-5.9394678041844395E-2</v>
      </c>
      <c r="R18" s="196">
        <f t="shared" si="3"/>
        <v>9.0225956534260177E-3</v>
      </c>
      <c r="S18" s="195">
        <v>18088</v>
      </c>
      <c r="T18" s="195">
        <v>24723</v>
      </c>
      <c r="U18" s="195">
        <v>30854</v>
      </c>
      <c r="V18" s="195">
        <v>28123</v>
      </c>
      <c r="W18" s="195">
        <v>26744</v>
      </c>
      <c r="X18" s="196">
        <f t="shared" si="6"/>
        <v>-4.9034598015858855E-2</v>
      </c>
      <c r="Y18" s="196">
        <f t="shared" si="7"/>
        <v>8.5461809812961212E-3</v>
      </c>
    </row>
    <row r="19" spans="1:25" x14ac:dyDescent="0.25">
      <c r="A19" s="74"/>
      <c r="B19" s="194" t="s">
        <v>133</v>
      </c>
      <c r="C19" s="195">
        <v>3329</v>
      </c>
      <c r="D19" s="195">
        <v>315</v>
      </c>
      <c r="E19" s="195">
        <v>2113</v>
      </c>
      <c r="F19" s="195">
        <v>2621</v>
      </c>
      <c r="G19" s="195">
        <v>2135</v>
      </c>
      <c r="H19" s="195">
        <v>2373</v>
      </c>
      <c r="I19" s="196">
        <f t="shared" si="4"/>
        <v>0.11147540983606552</v>
      </c>
      <c r="J19" s="196">
        <f t="shared" si="1"/>
        <v>4.2131390282615878E-3</v>
      </c>
      <c r="K19" s="195">
        <v>20961</v>
      </c>
      <c r="L19" s="195">
        <v>1460</v>
      </c>
      <c r="M19" s="195">
        <v>14963</v>
      </c>
      <c r="N19" s="195">
        <v>23981</v>
      </c>
      <c r="O19" s="195">
        <v>22747</v>
      </c>
      <c r="P19" s="195">
        <v>18881</v>
      </c>
      <c r="Q19" s="196">
        <f t="shared" si="5"/>
        <v>-0.16995647777728928</v>
      </c>
      <c r="R19" s="196">
        <f t="shared" si="3"/>
        <v>7.3578209533251265E-3</v>
      </c>
      <c r="S19" s="195">
        <v>24290</v>
      </c>
      <c r="T19" s="195">
        <v>17076</v>
      </c>
      <c r="U19" s="195">
        <v>26602</v>
      </c>
      <c r="V19" s="195">
        <v>24882</v>
      </c>
      <c r="W19" s="195">
        <v>21254</v>
      </c>
      <c r="X19" s="196">
        <f t="shared" si="6"/>
        <v>-0.14580821477373207</v>
      </c>
      <c r="Y19" s="196">
        <f t="shared" si="7"/>
        <v>6.7918236081538951E-3</v>
      </c>
    </row>
    <row r="20" spans="1:25" x14ac:dyDescent="0.25">
      <c r="A20" s="74"/>
      <c r="B20" s="199" t="s">
        <v>147</v>
      </c>
      <c r="C20" s="200">
        <f t="shared" ref="C20" si="8">C12-SUM(C13:C19)</f>
        <v>50832</v>
      </c>
      <c r="D20" s="200">
        <f t="shared" ref="D20:H20" si="9">D12-SUM(D13:D19)</f>
        <v>41685</v>
      </c>
      <c r="E20" s="200">
        <f t="shared" si="9"/>
        <v>125860</v>
      </c>
      <c r="F20" s="200">
        <f t="shared" si="9"/>
        <v>129063</v>
      </c>
      <c r="G20" s="200">
        <f t="shared" si="9"/>
        <v>144602</v>
      </c>
      <c r="H20" s="200">
        <f t="shared" si="9"/>
        <v>152134</v>
      </c>
      <c r="I20" s="201">
        <f t="shared" si="4"/>
        <v>5.2087799615496255E-2</v>
      </c>
      <c r="J20" s="201">
        <f t="shared" si="1"/>
        <v>0.27010606528678816</v>
      </c>
      <c r="K20" s="200">
        <f t="shared" ref="K20:P20" si="10">K12-SUM(K13:K19)</f>
        <v>140386</v>
      </c>
      <c r="L20" s="200">
        <f t="shared" si="10"/>
        <v>162072</v>
      </c>
      <c r="M20" s="200">
        <f t="shared" si="10"/>
        <v>412240</v>
      </c>
      <c r="N20" s="200">
        <f t="shared" si="10"/>
        <v>481529</v>
      </c>
      <c r="O20" s="200">
        <f t="shared" si="10"/>
        <v>536125</v>
      </c>
      <c r="P20" s="200">
        <f t="shared" si="10"/>
        <v>524164</v>
      </c>
      <c r="Q20" s="201">
        <f t="shared" si="5"/>
        <v>-2.2310095593378376E-2</v>
      </c>
      <c r="R20" s="201">
        <f t="shared" si="3"/>
        <v>0.20426380288007581</v>
      </c>
      <c r="S20" s="200">
        <f>S12-SUM(S13:S19)</f>
        <v>191218</v>
      </c>
      <c r="T20" s="200">
        <f>T12-SUM(T13:T19)</f>
        <v>538100</v>
      </c>
      <c r="U20" s="200">
        <f>U12-SUM(U13:U19)</f>
        <v>610592</v>
      </c>
      <c r="V20" s="200">
        <f>V12-SUM(V13:V19)</f>
        <v>680727</v>
      </c>
      <c r="W20" s="200">
        <f>W12-SUM(W13:W19)</f>
        <v>676298</v>
      </c>
      <c r="X20" s="201">
        <f t="shared" si="6"/>
        <v>-6.5062793160841625E-3</v>
      </c>
      <c r="Y20" s="201">
        <f t="shared" si="7"/>
        <v>0.21611445951572705</v>
      </c>
    </row>
    <row r="21" spans="1:25" x14ac:dyDescent="0.25">
      <c r="A21" s="74"/>
      <c r="B21" s="186" t="s">
        <v>46</v>
      </c>
      <c r="C21" s="184"/>
      <c r="D21" s="184"/>
      <c r="E21" s="184"/>
      <c r="F21" s="184"/>
      <c r="G21" s="184"/>
      <c r="H21" s="184"/>
      <c r="I21" s="184"/>
      <c r="J21" s="184"/>
      <c r="K21" s="184"/>
      <c r="L21" s="184"/>
      <c r="M21" s="184"/>
      <c r="N21" s="184"/>
      <c r="O21" s="184"/>
      <c r="P21" s="184"/>
      <c r="Q21" s="184"/>
      <c r="R21" s="184"/>
      <c r="S21" s="184"/>
      <c r="T21" s="184"/>
      <c r="U21" s="184"/>
      <c r="V21" s="184"/>
      <c r="W21" s="184"/>
      <c r="X21" s="184"/>
      <c r="Y21" s="184"/>
    </row>
    <row r="22" spans="1:25" x14ac:dyDescent="0.25">
      <c r="A22" s="74"/>
      <c r="B22" s="187" t="s">
        <v>70</v>
      </c>
      <c r="C22" s="209">
        <f t="shared" ref="C22:H22" si="11">C23+C26</f>
        <v>39605</v>
      </c>
      <c r="D22" s="209">
        <f t="shared" si="11"/>
        <v>27018</v>
      </c>
      <c r="E22" s="209">
        <f t="shared" si="11"/>
        <v>119981</v>
      </c>
      <c r="F22" s="209">
        <f t="shared" si="11"/>
        <v>123731</v>
      </c>
      <c r="G22" s="209">
        <f t="shared" si="11"/>
        <v>115276</v>
      </c>
      <c r="H22" s="209">
        <f t="shared" si="11"/>
        <v>119733</v>
      </c>
      <c r="I22" s="210">
        <f>IFERROR(H22/G22-1,"-")</f>
        <v>3.8663728790034435E-2</v>
      </c>
      <c r="J22" s="210">
        <f t="shared" ref="J22:J34" si="12">H22/H$8</f>
        <v>0.21257976201889786</v>
      </c>
      <c r="K22" s="209">
        <f t="shared" ref="K22:P22" si="13">K23+K26</f>
        <v>313172</v>
      </c>
      <c r="L22" s="209">
        <f t="shared" si="13"/>
        <v>398389</v>
      </c>
      <c r="M22" s="209">
        <f t="shared" si="13"/>
        <v>987366</v>
      </c>
      <c r="N22" s="209">
        <f t="shared" si="13"/>
        <v>1021223</v>
      </c>
      <c r="O22" s="209">
        <f t="shared" si="13"/>
        <v>1064916</v>
      </c>
      <c r="P22" s="209">
        <f t="shared" si="13"/>
        <v>977588</v>
      </c>
      <c r="Q22" s="210">
        <f>IFERROR(P22/O22-1,"-")</f>
        <v>-8.2004590033392333E-2</v>
      </c>
      <c r="R22" s="210">
        <f t="shared" ref="R22:R34" si="14">P22/P$8</f>
        <v>0.38096062020651467</v>
      </c>
      <c r="S22" s="209">
        <f>S23+S26</f>
        <v>352777</v>
      </c>
      <c r="T22" s="209">
        <f>T23+T26</f>
        <v>1107347</v>
      </c>
      <c r="U22" s="209">
        <f>U23+U26</f>
        <v>1144954</v>
      </c>
      <c r="V22" s="209">
        <f>V23+V26</f>
        <v>1180192</v>
      </c>
      <c r="W22" s="209">
        <f>W23+W26</f>
        <v>1097321</v>
      </c>
      <c r="X22" s="210">
        <f>IFERROR(W22/V22-1,"-")</f>
        <v>-7.0218235676906771E-2</v>
      </c>
      <c r="Y22" s="210">
        <f>W22/W$8</f>
        <v>0.35065449673111132</v>
      </c>
    </row>
    <row r="23" spans="1:25" x14ac:dyDescent="0.25">
      <c r="A23" s="74"/>
      <c r="B23" s="190" t="s">
        <v>99</v>
      </c>
      <c r="C23" s="191">
        <v>2625</v>
      </c>
      <c r="D23" s="191">
        <v>6575</v>
      </c>
      <c r="E23" s="191">
        <v>10466</v>
      </c>
      <c r="F23" s="191">
        <v>9524</v>
      </c>
      <c r="G23" s="191">
        <v>6419</v>
      </c>
      <c r="H23" s="191">
        <v>7595</v>
      </c>
      <c r="I23" s="192">
        <f>IFERROR(H23/G23-1,"-")</f>
        <v>0.18320610687022909</v>
      </c>
      <c r="J23" s="192">
        <f t="shared" si="12"/>
        <v>1.3484530518182367E-2</v>
      </c>
      <c r="K23" s="191">
        <v>59465</v>
      </c>
      <c r="L23" s="191">
        <v>165014</v>
      </c>
      <c r="M23" s="191">
        <v>133371</v>
      </c>
      <c r="N23" s="191">
        <v>106923</v>
      </c>
      <c r="O23" s="191">
        <v>97975</v>
      </c>
      <c r="P23" s="191">
        <v>82411</v>
      </c>
      <c r="Q23" s="192">
        <f>IFERROR(P23/O23-1,"-")</f>
        <v>-0.15885685123756055</v>
      </c>
      <c r="R23" s="192">
        <f t="shared" si="14"/>
        <v>3.2115109506089562E-2</v>
      </c>
      <c r="S23" s="191">
        <v>62090</v>
      </c>
      <c r="T23" s="191">
        <v>143837</v>
      </c>
      <c r="U23" s="191">
        <v>116447</v>
      </c>
      <c r="V23" s="191">
        <v>104394</v>
      </c>
      <c r="W23" s="191">
        <v>90006</v>
      </c>
      <c r="X23" s="192">
        <f>IFERROR(W23/V23-1,"-")</f>
        <v>-0.13782401287430313</v>
      </c>
      <c r="Y23" s="192">
        <f>W23/W$8</f>
        <v>2.8761874267220263E-2</v>
      </c>
    </row>
    <row r="24" spans="1:25" x14ac:dyDescent="0.25">
      <c r="A24" s="74"/>
      <c r="B24" s="194" t="s">
        <v>105</v>
      </c>
      <c r="C24" s="195">
        <v>1647</v>
      </c>
      <c r="D24" s="195">
        <v>3329</v>
      </c>
      <c r="E24" s="195">
        <v>5269</v>
      </c>
      <c r="F24" s="195">
        <v>4518</v>
      </c>
      <c r="G24" s="195">
        <v>2161</v>
      </c>
      <c r="H24" s="195">
        <v>2521</v>
      </c>
      <c r="I24" s="196">
        <f>IFERROR(H24/G24-1,"-")</f>
        <v>0.16658954187875974</v>
      </c>
      <c r="J24" s="196">
        <f t="shared" si="12"/>
        <v>4.4759053899062207E-3</v>
      </c>
      <c r="K24" s="195">
        <v>28642</v>
      </c>
      <c r="L24" s="195">
        <v>79997</v>
      </c>
      <c r="M24" s="195">
        <v>52981</v>
      </c>
      <c r="N24" s="195">
        <v>41548</v>
      </c>
      <c r="O24" s="195">
        <v>34698</v>
      </c>
      <c r="P24" s="195">
        <v>39307</v>
      </c>
      <c r="Q24" s="196">
        <f>IFERROR(P24/O24-1,"-")</f>
        <v>0.13283186350798326</v>
      </c>
      <c r="R24" s="196">
        <f t="shared" si="14"/>
        <v>1.5317719835408651E-2</v>
      </c>
      <c r="S24" s="195">
        <v>30289</v>
      </c>
      <c r="T24" s="195">
        <v>58250</v>
      </c>
      <c r="U24" s="195">
        <v>46066</v>
      </c>
      <c r="V24" s="195">
        <v>36859</v>
      </c>
      <c r="W24" s="195">
        <v>41828</v>
      </c>
      <c r="X24" s="196">
        <f>IFERROR(W24/V24-1,"-")</f>
        <v>0.13481103665319183</v>
      </c>
      <c r="Y24" s="196">
        <f>W24/W$8</f>
        <v>1.3366349763896732E-2</v>
      </c>
    </row>
    <row r="25" spans="1:25" x14ac:dyDescent="0.25">
      <c r="A25" s="74"/>
      <c r="B25" s="194" t="s">
        <v>102</v>
      </c>
      <c r="C25" s="195">
        <v>978</v>
      </c>
      <c r="D25" s="195">
        <v>3246</v>
      </c>
      <c r="E25" s="195">
        <v>5197</v>
      </c>
      <c r="F25" s="195">
        <v>5006</v>
      </c>
      <c r="G25" s="195">
        <v>4258</v>
      </c>
      <c r="H25" s="195">
        <v>5074</v>
      </c>
      <c r="I25" s="196">
        <f>IFERROR(H25/G25-1,"-")</f>
        <v>0.19163926726162517</v>
      </c>
      <c r="J25" s="196">
        <f t="shared" si="12"/>
        <v>9.0086251282761459E-3</v>
      </c>
      <c r="K25" s="195">
        <v>30823</v>
      </c>
      <c r="L25" s="195">
        <v>85017</v>
      </c>
      <c r="M25" s="195">
        <v>80390</v>
      </c>
      <c r="N25" s="195">
        <v>65375</v>
      </c>
      <c r="O25" s="195">
        <v>63277</v>
      </c>
      <c r="P25" s="195">
        <v>43104</v>
      </c>
      <c r="Q25" s="196">
        <f>IFERROR(P25/O25-1,"-")</f>
        <v>-0.31880462095232076</v>
      </c>
      <c r="R25" s="196">
        <f t="shared" si="14"/>
        <v>1.6797389670680909E-2</v>
      </c>
      <c r="S25" s="195">
        <v>31801</v>
      </c>
      <c r="T25" s="195">
        <v>85587</v>
      </c>
      <c r="U25" s="195">
        <v>70381</v>
      </c>
      <c r="V25" s="195">
        <v>67535</v>
      </c>
      <c r="W25" s="195">
        <v>48178</v>
      </c>
      <c r="X25" s="196">
        <f>IFERROR(W25/V25-1,"-")</f>
        <v>-0.28662175168431181</v>
      </c>
      <c r="Y25" s="196">
        <f>W25/W$8</f>
        <v>1.5395524503323533E-2</v>
      </c>
    </row>
    <row r="26" spans="1:25" x14ac:dyDescent="0.25">
      <c r="A26" s="74"/>
      <c r="B26" s="190" t="s">
        <v>109</v>
      </c>
      <c r="C26" s="191">
        <v>36980</v>
      </c>
      <c r="D26" s="191">
        <v>20443</v>
      </c>
      <c r="E26" s="191">
        <v>109515</v>
      </c>
      <c r="F26" s="191">
        <v>114207</v>
      </c>
      <c r="G26" s="191">
        <v>108857</v>
      </c>
      <c r="H26" s="191">
        <v>112138</v>
      </c>
      <c r="I26" s="192">
        <f>IFERROR(H26/G26-1,"-")</f>
        <v>3.0140459501915462E-2</v>
      </c>
      <c r="J26" s="192">
        <f t="shared" si="12"/>
        <v>0.19909523150071551</v>
      </c>
      <c r="K26" s="191">
        <v>253707</v>
      </c>
      <c r="L26" s="191">
        <v>233375</v>
      </c>
      <c r="M26" s="191">
        <v>853995</v>
      </c>
      <c r="N26" s="191">
        <v>914300</v>
      </c>
      <c r="O26" s="191">
        <v>966941</v>
      </c>
      <c r="P26" s="191">
        <v>895177</v>
      </c>
      <c r="Q26" s="192">
        <f>IFERROR(P26/O26-1,"-")</f>
        <v>-7.4217558258466654E-2</v>
      </c>
      <c r="R26" s="192">
        <f t="shared" si="14"/>
        <v>0.34884551070042513</v>
      </c>
      <c r="S26" s="191">
        <v>290687</v>
      </c>
      <c r="T26" s="191">
        <v>963510</v>
      </c>
      <c r="U26" s="191">
        <v>1028507</v>
      </c>
      <c r="V26" s="191">
        <v>1075798</v>
      </c>
      <c r="W26" s="191">
        <v>1007315</v>
      </c>
      <c r="X26" s="192">
        <f>IFERROR(W26/V26-1,"-")</f>
        <v>-6.3657861420080675E-2</v>
      </c>
      <c r="Y26" s="192">
        <f>W26/W$8</f>
        <v>0.32189262246389105</v>
      </c>
    </row>
    <row r="27" spans="1:25" s="74" customFormat="1" x14ac:dyDescent="0.25">
      <c r="B27" s="194" t="s">
        <v>112</v>
      </c>
      <c r="C27" s="195">
        <v>14201</v>
      </c>
      <c r="D27" s="195">
        <v>3961</v>
      </c>
      <c r="E27" s="195">
        <v>47673</v>
      </c>
      <c r="F27" s="195">
        <v>51541</v>
      </c>
      <c r="G27" s="195">
        <v>48687</v>
      </c>
      <c r="H27" s="195">
        <v>48488</v>
      </c>
      <c r="I27" s="196">
        <f t="shared" ref="I27:I34" si="15">IFERROR(H27/G27-1,"-")</f>
        <v>-4.0873333744120277E-3</v>
      </c>
      <c r="J27" s="196">
        <f t="shared" si="12"/>
        <v>8.6087941509628257E-2</v>
      </c>
      <c r="K27" s="195">
        <v>106273</v>
      </c>
      <c r="L27" s="195">
        <v>52433</v>
      </c>
      <c r="M27" s="195">
        <v>440530</v>
      </c>
      <c r="N27" s="195">
        <v>476716</v>
      </c>
      <c r="O27" s="195">
        <v>502953</v>
      </c>
      <c r="P27" s="195">
        <v>472135</v>
      </c>
      <c r="Q27" s="196">
        <f t="shared" ref="Q27:Q34" si="16">IFERROR(P27/O27-1,"-")</f>
        <v>-6.1274115076359048E-2</v>
      </c>
      <c r="R27" s="196">
        <f t="shared" si="14"/>
        <v>0.18398839022287794</v>
      </c>
      <c r="S27" s="195">
        <v>120474</v>
      </c>
      <c r="T27" s="195">
        <v>488203</v>
      </c>
      <c r="U27" s="195">
        <v>528257</v>
      </c>
      <c r="V27" s="195">
        <v>551640</v>
      </c>
      <c r="W27" s="195">
        <v>520623</v>
      </c>
      <c r="X27" s="196">
        <f t="shared" ref="X27:X34" si="17">IFERROR(W27/V27-1,"-")</f>
        <v>-5.6226887100282785E-2</v>
      </c>
      <c r="Y27" s="196">
        <f t="shared" ref="Y27:Y34" si="18">W27/W$8</f>
        <v>0.16636772289206292</v>
      </c>
    </row>
    <row r="28" spans="1:25" s="74" customFormat="1" x14ac:dyDescent="0.25">
      <c r="B28" s="194" t="s">
        <v>115</v>
      </c>
      <c r="C28" s="195">
        <v>6683</v>
      </c>
      <c r="D28" s="195">
        <v>6808</v>
      </c>
      <c r="E28" s="195">
        <v>19690</v>
      </c>
      <c r="F28" s="195">
        <v>22289</v>
      </c>
      <c r="G28" s="195">
        <v>21512</v>
      </c>
      <c r="H28" s="195">
        <v>22239</v>
      </c>
      <c r="I28" s="196">
        <f t="shared" si="15"/>
        <v>3.379509111193757E-2</v>
      </c>
      <c r="J28" s="196">
        <f t="shared" si="12"/>
        <v>3.9484196733885139E-2</v>
      </c>
      <c r="K28" s="195">
        <v>32285</v>
      </c>
      <c r="L28" s="195">
        <v>42126</v>
      </c>
      <c r="M28" s="195">
        <v>91625</v>
      </c>
      <c r="N28" s="195">
        <v>98739</v>
      </c>
      <c r="O28" s="195">
        <v>99703</v>
      </c>
      <c r="P28" s="195">
        <v>89740</v>
      </c>
      <c r="Q28" s="196">
        <f t="shared" si="16"/>
        <v>-9.9926782544156101E-2</v>
      </c>
      <c r="R28" s="196">
        <f t="shared" si="14"/>
        <v>3.4971180146782313E-2</v>
      </c>
      <c r="S28" s="195">
        <v>38968</v>
      </c>
      <c r="T28" s="195">
        <v>111315</v>
      </c>
      <c r="U28" s="195">
        <v>121028</v>
      </c>
      <c r="V28" s="195">
        <v>121215</v>
      </c>
      <c r="W28" s="195">
        <v>111979</v>
      </c>
      <c r="X28" s="196">
        <f t="shared" si="17"/>
        <v>-7.6195190364228838E-2</v>
      </c>
      <c r="Y28" s="196">
        <f t="shared" si="18"/>
        <v>3.5783457975791147E-2</v>
      </c>
    </row>
    <row r="29" spans="1:25" x14ac:dyDescent="0.25">
      <c r="A29" s="74"/>
      <c r="B29" s="194" t="s">
        <v>118</v>
      </c>
      <c r="C29" s="195">
        <v>2454</v>
      </c>
      <c r="D29" s="195">
        <v>3118</v>
      </c>
      <c r="E29" s="195">
        <v>2985</v>
      </c>
      <c r="F29" s="195">
        <v>2297</v>
      </c>
      <c r="G29" s="195">
        <v>2319</v>
      </c>
      <c r="H29" s="195">
        <v>2547</v>
      </c>
      <c r="I29" s="196">
        <f t="shared" si="15"/>
        <v>9.8318240620957287E-2</v>
      </c>
      <c r="J29" s="196">
        <f t="shared" si="12"/>
        <v>4.5220670480329806E-3</v>
      </c>
      <c r="K29" s="195">
        <v>10931</v>
      </c>
      <c r="L29" s="195">
        <v>20417</v>
      </c>
      <c r="M29" s="195">
        <v>36586</v>
      </c>
      <c r="N29" s="195">
        <v>33768</v>
      </c>
      <c r="O29" s="195">
        <v>30363</v>
      </c>
      <c r="P29" s="195">
        <v>28141</v>
      </c>
      <c r="Q29" s="196">
        <f t="shared" si="16"/>
        <v>-7.3181174455752118E-2</v>
      </c>
      <c r="R29" s="196">
        <f t="shared" si="14"/>
        <v>1.0966391581352809E-2</v>
      </c>
      <c r="S29" s="195">
        <v>13385</v>
      </c>
      <c r="T29" s="195">
        <v>39571</v>
      </c>
      <c r="U29" s="195">
        <v>36065</v>
      </c>
      <c r="V29" s="195">
        <v>32682</v>
      </c>
      <c r="W29" s="195">
        <v>30688</v>
      </c>
      <c r="X29" s="196">
        <f t="shared" si="17"/>
        <v>-6.1012177957285307E-2</v>
      </c>
      <c r="Y29" s="196">
        <f t="shared" si="18"/>
        <v>9.8065062052802646E-3</v>
      </c>
    </row>
    <row r="30" spans="1:25" x14ac:dyDescent="0.25">
      <c r="A30" s="74"/>
      <c r="B30" s="194" t="s">
        <v>125</v>
      </c>
      <c r="C30" s="195">
        <v>1703</v>
      </c>
      <c r="D30" s="195">
        <v>736</v>
      </c>
      <c r="E30" s="195">
        <v>5974</v>
      </c>
      <c r="F30" s="195">
        <v>2925</v>
      </c>
      <c r="G30" s="195">
        <v>2373</v>
      </c>
      <c r="H30" s="195">
        <v>2665</v>
      </c>
      <c r="I30" s="196">
        <f t="shared" si="15"/>
        <v>0.12305099030762756</v>
      </c>
      <c r="J30" s="196">
        <f t="shared" si="12"/>
        <v>4.7315699579928913E-3</v>
      </c>
      <c r="K30" s="195">
        <v>10893</v>
      </c>
      <c r="L30" s="195">
        <v>16967</v>
      </c>
      <c r="M30" s="195">
        <v>45253</v>
      </c>
      <c r="N30" s="195">
        <v>40898</v>
      </c>
      <c r="O30" s="195">
        <v>43979</v>
      </c>
      <c r="P30" s="195">
        <v>40015</v>
      </c>
      <c r="Q30" s="196">
        <f t="shared" si="16"/>
        <v>-9.0133927556333759E-2</v>
      </c>
      <c r="R30" s="196">
        <f t="shared" si="14"/>
        <v>1.5593623507616384E-2</v>
      </c>
      <c r="S30" s="195">
        <v>12596</v>
      </c>
      <c r="T30" s="195">
        <v>51227</v>
      </c>
      <c r="U30" s="195">
        <v>43823</v>
      </c>
      <c r="V30" s="195">
        <v>46352</v>
      </c>
      <c r="W30" s="195">
        <v>42680</v>
      </c>
      <c r="X30" s="196">
        <f t="shared" si="17"/>
        <v>-7.9219882637210914E-2</v>
      </c>
      <c r="Y30" s="196">
        <f t="shared" si="18"/>
        <v>1.3638610689564705E-2</v>
      </c>
    </row>
    <row r="31" spans="1:25" x14ac:dyDescent="0.25">
      <c r="A31" s="74"/>
      <c r="B31" s="194" t="s">
        <v>121</v>
      </c>
      <c r="C31" s="195">
        <v>1276</v>
      </c>
      <c r="D31" s="195">
        <v>651</v>
      </c>
      <c r="E31" s="195">
        <v>3213</v>
      </c>
      <c r="F31" s="195">
        <v>2267</v>
      </c>
      <c r="G31" s="195">
        <v>1744</v>
      </c>
      <c r="H31" s="195">
        <v>1714</v>
      </c>
      <c r="I31" s="196">
        <f t="shared" si="15"/>
        <v>-1.7201834862385357E-2</v>
      </c>
      <c r="J31" s="196">
        <f t="shared" si="12"/>
        <v>3.0431185395871727E-3</v>
      </c>
      <c r="K31" s="195">
        <v>19334</v>
      </c>
      <c r="L31" s="195">
        <v>22816</v>
      </c>
      <c r="M31" s="195">
        <v>53807</v>
      </c>
      <c r="N31" s="195">
        <v>51345</v>
      </c>
      <c r="O31" s="195">
        <v>53807</v>
      </c>
      <c r="P31" s="195">
        <v>49691</v>
      </c>
      <c r="Q31" s="196">
        <f t="shared" si="16"/>
        <v>-7.6495623246046085E-2</v>
      </c>
      <c r="R31" s="196">
        <f t="shared" si="14"/>
        <v>1.936430702778872E-2</v>
      </c>
      <c r="S31" s="195">
        <v>20610</v>
      </c>
      <c r="T31" s="195">
        <v>57020</v>
      </c>
      <c r="U31" s="195">
        <v>53612</v>
      </c>
      <c r="V31" s="195">
        <v>55551</v>
      </c>
      <c r="W31" s="195">
        <v>51405</v>
      </c>
      <c r="X31" s="196">
        <f t="shared" si="17"/>
        <v>-7.4634119997839865E-2</v>
      </c>
      <c r="Y31" s="196">
        <f t="shared" si="18"/>
        <v>1.6426728737044836E-2</v>
      </c>
    </row>
    <row r="32" spans="1:25" x14ac:dyDescent="0.25">
      <c r="A32" s="74"/>
      <c r="B32" s="194" t="s">
        <v>130</v>
      </c>
      <c r="C32" s="195">
        <v>1374</v>
      </c>
      <c r="D32" s="195">
        <v>75</v>
      </c>
      <c r="E32" s="195">
        <v>1221</v>
      </c>
      <c r="F32" s="195">
        <v>1562</v>
      </c>
      <c r="G32" s="195">
        <v>1584</v>
      </c>
      <c r="H32" s="195">
        <v>1371</v>
      </c>
      <c r="I32" s="196">
        <f t="shared" si="15"/>
        <v>-0.13446969696969702</v>
      </c>
      <c r="J32" s="196">
        <f t="shared" si="12"/>
        <v>2.43413974199184E-3</v>
      </c>
      <c r="K32" s="195">
        <v>8161</v>
      </c>
      <c r="L32" s="195">
        <v>496</v>
      </c>
      <c r="M32" s="195">
        <v>11724</v>
      </c>
      <c r="N32" s="195">
        <v>12926</v>
      </c>
      <c r="O32" s="195">
        <v>12725</v>
      </c>
      <c r="P32" s="195">
        <v>10990</v>
      </c>
      <c r="Q32" s="196">
        <f t="shared" si="16"/>
        <v>-0.13634577603143416</v>
      </c>
      <c r="R32" s="196">
        <f t="shared" si="14"/>
        <v>4.2827420304561801E-3</v>
      </c>
      <c r="S32" s="195">
        <v>9535</v>
      </c>
      <c r="T32" s="195">
        <v>12945</v>
      </c>
      <c r="U32" s="195">
        <v>14488</v>
      </c>
      <c r="V32" s="195">
        <v>14309</v>
      </c>
      <c r="W32" s="195">
        <v>12361</v>
      </c>
      <c r="X32" s="196">
        <f t="shared" si="17"/>
        <v>-0.13613809490530437</v>
      </c>
      <c r="Y32" s="196">
        <f t="shared" si="18"/>
        <v>3.9500203077251477E-3</v>
      </c>
    </row>
    <row r="33" spans="1:25" x14ac:dyDescent="0.25">
      <c r="A33" s="74"/>
      <c r="B33" s="194" t="s">
        <v>133</v>
      </c>
      <c r="C33" s="195">
        <v>667</v>
      </c>
      <c r="D33" s="195">
        <v>14</v>
      </c>
      <c r="E33" s="195">
        <v>411</v>
      </c>
      <c r="F33" s="195">
        <v>573</v>
      </c>
      <c r="G33" s="195">
        <v>327</v>
      </c>
      <c r="H33" s="195">
        <v>313</v>
      </c>
      <c r="I33" s="196">
        <f t="shared" si="15"/>
        <v>-4.2813455657492394E-2</v>
      </c>
      <c r="J33" s="196">
        <f t="shared" si="12"/>
        <v>5.5571534591060975E-4</v>
      </c>
      <c r="K33" s="195">
        <v>10470</v>
      </c>
      <c r="L33" s="195">
        <v>337</v>
      </c>
      <c r="M33" s="195">
        <v>7526</v>
      </c>
      <c r="N33" s="195">
        <v>12255</v>
      </c>
      <c r="O33" s="195">
        <v>11407</v>
      </c>
      <c r="P33" s="195">
        <v>9615</v>
      </c>
      <c r="Q33" s="196">
        <f t="shared" si="16"/>
        <v>-0.15709651968089766</v>
      </c>
      <c r="R33" s="196">
        <f t="shared" si="14"/>
        <v>3.7469121585838191E-3</v>
      </c>
      <c r="S33" s="195">
        <v>11137</v>
      </c>
      <c r="T33" s="195">
        <v>7937</v>
      </c>
      <c r="U33" s="195">
        <v>12828</v>
      </c>
      <c r="V33" s="195">
        <v>11734</v>
      </c>
      <c r="W33" s="195">
        <v>9928</v>
      </c>
      <c r="X33" s="196">
        <f t="shared" si="17"/>
        <v>-0.15391170956195666</v>
      </c>
      <c r="Y33" s="196">
        <f t="shared" si="18"/>
        <v>3.1725428052014619E-3</v>
      </c>
    </row>
    <row r="34" spans="1:25" x14ac:dyDescent="0.25">
      <c r="A34" s="74"/>
      <c r="B34" s="199" t="s">
        <v>147</v>
      </c>
      <c r="C34" s="200">
        <f t="shared" ref="C34" si="19">C26-SUM(C27:C33)</f>
        <v>8622</v>
      </c>
      <c r="D34" s="200">
        <f t="shared" ref="D34:H34" si="20">D26-SUM(D27:D33)</f>
        <v>5080</v>
      </c>
      <c r="E34" s="200">
        <f t="shared" si="20"/>
        <v>28348</v>
      </c>
      <c r="F34" s="200">
        <f t="shared" si="20"/>
        <v>30753</v>
      </c>
      <c r="G34" s="200">
        <f t="shared" si="20"/>
        <v>30311</v>
      </c>
      <c r="H34" s="200">
        <f t="shared" si="20"/>
        <v>32801</v>
      </c>
      <c r="I34" s="201">
        <f t="shared" si="15"/>
        <v>8.214839497212223E-2</v>
      </c>
      <c r="J34" s="201">
        <f t="shared" si="12"/>
        <v>5.8236482623686615E-2</v>
      </c>
      <c r="K34" s="200">
        <f t="shared" ref="K34:P34" si="21">K26-SUM(K27:K33)</f>
        <v>55360</v>
      </c>
      <c r="L34" s="200">
        <f t="shared" si="21"/>
        <v>77783</v>
      </c>
      <c r="M34" s="200">
        <f t="shared" si="21"/>
        <v>166944</v>
      </c>
      <c r="N34" s="200">
        <f t="shared" si="21"/>
        <v>187653</v>
      </c>
      <c r="O34" s="200">
        <f t="shared" si="21"/>
        <v>212004</v>
      </c>
      <c r="P34" s="200">
        <f t="shared" si="21"/>
        <v>194850</v>
      </c>
      <c r="Q34" s="201">
        <f t="shared" si="16"/>
        <v>-8.0913567668534525E-2</v>
      </c>
      <c r="R34" s="201">
        <f t="shared" si="14"/>
        <v>7.593196402496695E-2</v>
      </c>
      <c r="S34" s="200">
        <f>S26-SUM(S27:S33)</f>
        <v>63982</v>
      </c>
      <c r="T34" s="200">
        <f>T26-SUM(T27:T33)</f>
        <v>195292</v>
      </c>
      <c r="U34" s="200">
        <f>U26-SUM(U27:U33)</f>
        <v>218406</v>
      </c>
      <c r="V34" s="200">
        <f>V26-SUM(V27:V33)</f>
        <v>242315</v>
      </c>
      <c r="W34" s="200">
        <f>W26-SUM(W27:W33)</f>
        <v>227651</v>
      </c>
      <c r="X34" s="201">
        <f t="shared" si="17"/>
        <v>-6.0516270144233775E-2</v>
      </c>
      <c r="Y34" s="201">
        <f t="shared" si="18"/>
        <v>7.2747032851220583E-2</v>
      </c>
    </row>
    <row r="35" spans="1:25" x14ac:dyDescent="0.25">
      <c r="A35" s="74"/>
      <c r="B35" s="186" t="s">
        <v>47</v>
      </c>
      <c r="C35" s="184"/>
      <c r="D35" s="184"/>
      <c r="E35" s="184"/>
      <c r="F35" s="184"/>
      <c r="G35" s="184"/>
      <c r="H35" s="184"/>
      <c r="I35" s="184"/>
      <c r="J35" s="184"/>
      <c r="K35" s="184"/>
      <c r="L35" s="184"/>
      <c r="M35" s="184"/>
      <c r="N35" s="184"/>
      <c r="O35" s="184"/>
      <c r="P35" s="184"/>
      <c r="Q35" s="184"/>
      <c r="R35" s="184"/>
      <c r="S35" s="184"/>
      <c r="T35" s="184"/>
      <c r="U35" s="184"/>
      <c r="V35" s="184"/>
      <c r="W35" s="184"/>
      <c r="X35" s="184"/>
      <c r="Y35" s="184"/>
    </row>
    <row r="36" spans="1:25" x14ac:dyDescent="0.25">
      <c r="A36" s="74"/>
      <c r="B36" s="187" t="s">
        <v>70</v>
      </c>
      <c r="C36" s="209">
        <f t="shared" ref="C36:H36" si="22">C37+C40</f>
        <v>46041</v>
      </c>
      <c r="D36" s="209">
        <f t="shared" si="22"/>
        <v>18402</v>
      </c>
      <c r="E36" s="209">
        <f t="shared" si="22"/>
        <v>131469</v>
      </c>
      <c r="F36" s="209">
        <f t="shared" si="22"/>
        <v>145448</v>
      </c>
      <c r="G36" s="209">
        <f t="shared" si="22"/>
        <v>156885</v>
      </c>
      <c r="H36" s="209">
        <f t="shared" si="22"/>
        <v>140669</v>
      </c>
      <c r="I36" s="210">
        <f>IFERROR(H36/G36-1,"-")</f>
        <v>-0.10336233546865536</v>
      </c>
      <c r="J36" s="210">
        <f t="shared" ref="J36:J48" si="23">H36/H$8</f>
        <v>0.24975054950127654</v>
      </c>
      <c r="K36" s="209">
        <f t="shared" ref="K36:P36" si="24">K37+K40</f>
        <v>124031</v>
      </c>
      <c r="L36" s="209">
        <f t="shared" si="24"/>
        <v>86318</v>
      </c>
      <c r="M36" s="209">
        <f t="shared" si="24"/>
        <v>415520</v>
      </c>
      <c r="N36" s="209">
        <f t="shared" si="24"/>
        <v>452861</v>
      </c>
      <c r="O36" s="209">
        <f t="shared" si="24"/>
        <v>482421</v>
      </c>
      <c r="P36" s="209">
        <f t="shared" si="24"/>
        <v>513294</v>
      </c>
      <c r="Q36" s="210">
        <f>IFERROR(P36/O36-1,"-")</f>
        <v>6.3995970324674856E-2</v>
      </c>
      <c r="R36" s="210">
        <f t="shared" ref="R36:R48" si="25">P36/P$8</f>
        <v>0.20002782418389214</v>
      </c>
      <c r="S36" s="209">
        <f>S37+S40</f>
        <v>170072</v>
      </c>
      <c r="T36" s="209">
        <f>T37+T40</f>
        <v>546989</v>
      </c>
      <c r="U36" s="209">
        <f>U37+U40</f>
        <v>598309</v>
      </c>
      <c r="V36" s="209">
        <f>V37+V40</f>
        <v>639306</v>
      </c>
      <c r="W36" s="209">
        <f>W37+W40</f>
        <v>653963</v>
      </c>
      <c r="X36" s="210">
        <f>IFERROR(W36/V36-1,"-")</f>
        <v>2.2926423340309698E-2</v>
      </c>
      <c r="Y36" s="210">
        <f>W36/W$8</f>
        <v>0.20897719686925501</v>
      </c>
    </row>
    <row r="37" spans="1:25" x14ac:dyDescent="0.25">
      <c r="A37" s="74"/>
      <c r="B37" s="190" t="s">
        <v>99</v>
      </c>
      <c r="C37" s="191">
        <v>4405</v>
      </c>
      <c r="D37" s="191">
        <v>3602</v>
      </c>
      <c r="E37" s="191">
        <v>17997</v>
      </c>
      <c r="F37" s="191">
        <v>22186</v>
      </c>
      <c r="G37" s="191">
        <v>25399</v>
      </c>
      <c r="H37" s="191">
        <v>17632</v>
      </c>
      <c r="I37" s="192">
        <f>IFERROR(H37/G37-1,"-")</f>
        <v>-0.30579944092287092</v>
      </c>
      <c r="J37" s="192">
        <f t="shared" si="23"/>
        <v>3.1304706003501187E-2</v>
      </c>
      <c r="K37" s="191">
        <v>12822</v>
      </c>
      <c r="L37" s="191">
        <v>21689</v>
      </c>
      <c r="M37" s="191">
        <v>47727</v>
      </c>
      <c r="N37" s="191">
        <v>41121</v>
      </c>
      <c r="O37" s="191">
        <v>38082</v>
      </c>
      <c r="P37" s="191">
        <v>45026</v>
      </c>
      <c r="Q37" s="192">
        <f>IFERROR(P37/O37-1,"-")</f>
        <v>0.18234336431910081</v>
      </c>
      <c r="R37" s="192">
        <f t="shared" si="25"/>
        <v>1.7546382407945402E-2</v>
      </c>
      <c r="S37" s="191">
        <v>17227</v>
      </c>
      <c r="T37" s="191">
        <v>65724</v>
      </c>
      <c r="U37" s="191">
        <v>63307</v>
      </c>
      <c r="V37" s="191">
        <v>63481</v>
      </c>
      <c r="W37" s="191">
        <v>62658</v>
      </c>
      <c r="X37" s="192">
        <f>IFERROR(W37/V37-1,"-")</f>
        <v>-1.2964509065704677E-2</v>
      </c>
      <c r="Y37" s="192">
        <f>W37/W$8</f>
        <v>2.002268201937079E-2</v>
      </c>
    </row>
    <row r="38" spans="1:25" x14ac:dyDescent="0.25">
      <c r="A38" s="74"/>
      <c r="B38" s="194" t="s">
        <v>105</v>
      </c>
      <c r="C38" s="195">
        <v>1745</v>
      </c>
      <c r="D38" s="195">
        <v>2694</v>
      </c>
      <c r="E38" s="195">
        <v>8115</v>
      </c>
      <c r="F38" s="195">
        <v>12297</v>
      </c>
      <c r="G38" s="195">
        <v>17692</v>
      </c>
      <c r="H38" s="195">
        <v>9949</v>
      </c>
      <c r="I38" s="196">
        <f>IFERROR(H38/G38-1,"-")</f>
        <v>-0.43765543748586933</v>
      </c>
      <c r="J38" s="196">
        <f t="shared" si="23"/>
        <v>1.7663936027043629E-2</v>
      </c>
      <c r="K38" s="195">
        <v>1466</v>
      </c>
      <c r="L38" s="195">
        <v>3383</v>
      </c>
      <c r="M38" s="195">
        <v>7136</v>
      </c>
      <c r="N38" s="195">
        <v>10439</v>
      </c>
      <c r="O38" s="195">
        <v>8020</v>
      </c>
      <c r="P38" s="195">
        <v>14008</v>
      </c>
      <c r="Q38" s="196">
        <f>IFERROR(P38/O38-1,"-")</f>
        <v>0.74663341645885284</v>
      </c>
      <c r="R38" s="196">
        <f t="shared" si="25"/>
        <v>5.4588398874094784E-3</v>
      </c>
      <c r="S38" s="195">
        <v>3211</v>
      </c>
      <c r="T38" s="195">
        <v>15251</v>
      </c>
      <c r="U38" s="195">
        <v>22736</v>
      </c>
      <c r="V38" s="195">
        <v>25712</v>
      </c>
      <c r="W38" s="195">
        <v>23957</v>
      </c>
      <c r="X38" s="196">
        <f>IFERROR(W38/V38-1,"-")</f>
        <v>-6.825606720597388E-2</v>
      </c>
      <c r="Y38" s="196">
        <f>W38/W$8</f>
        <v>7.6555809814878549E-3</v>
      </c>
    </row>
    <row r="39" spans="1:25" x14ac:dyDescent="0.25">
      <c r="A39" s="74"/>
      <c r="B39" s="194" t="s">
        <v>102</v>
      </c>
      <c r="C39" s="195">
        <v>2660</v>
      </c>
      <c r="D39" s="195">
        <v>908</v>
      </c>
      <c r="E39" s="195">
        <v>9882</v>
      </c>
      <c r="F39" s="195">
        <v>9889</v>
      </c>
      <c r="G39" s="195">
        <v>7707</v>
      </c>
      <c r="H39" s="195">
        <v>7683</v>
      </c>
      <c r="I39" s="196">
        <f>IFERROR(H39/G39-1,"-")</f>
        <v>-3.1140521603736371E-3</v>
      </c>
      <c r="J39" s="196">
        <f t="shared" si="23"/>
        <v>1.3640769976457554E-2</v>
      </c>
      <c r="K39" s="195">
        <v>11356</v>
      </c>
      <c r="L39" s="195">
        <v>18306</v>
      </c>
      <c r="M39" s="195">
        <v>40591</v>
      </c>
      <c r="N39" s="195">
        <v>30682</v>
      </c>
      <c r="O39" s="195">
        <v>30062</v>
      </c>
      <c r="P39" s="195">
        <v>31018</v>
      </c>
      <c r="Q39" s="196">
        <f>IFERROR(P39/O39-1,"-")</f>
        <v>3.1800944714257096E-2</v>
      </c>
      <c r="R39" s="196">
        <f t="shared" si="25"/>
        <v>1.2087542520535923E-2</v>
      </c>
      <c r="S39" s="195">
        <v>14016</v>
      </c>
      <c r="T39" s="195">
        <v>50473</v>
      </c>
      <c r="U39" s="195">
        <v>40571</v>
      </c>
      <c r="V39" s="195">
        <v>37769</v>
      </c>
      <c r="W39" s="195">
        <v>38701</v>
      </c>
      <c r="X39" s="196">
        <f>IFERROR(W39/V39-1,"-")</f>
        <v>2.4676321851253569E-2</v>
      </c>
      <c r="Y39" s="196">
        <f>W39/W$8</f>
        <v>1.2367101037882935E-2</v>
      </c>
    </row>
    <row r="40" spans="1:25" x14ac:dyDescent="0.25">
      <c r="A40" s="74"/>
      <c r="B40" s="190" t="s">
        <v>109</v>
      </c>
      <c r="C40" s="191">
        <v>41636</v>
      </c>
      <c r="D40" s="191">
        <v>14800</v>
      </c>
      <c r="E40" s="191">
        <v>113472</v>
      </c>
      <c r="F40" s="191">
        <v>123262</v>
      </c>
      <c r="G40" s="191">
        <v>131486</v>
      </c>
      <c r="H40" s="191">
        <v>123037</v>
      </c>
      <c r="I40" s="192">
        <f>IFERROR(H40/G40-1,"-")</f>
        <v>-6.4257791704059763E-2</v>
      </c>
      <c r="J40" s="192">
        <f t="shared" si="23"/>
        <v>0.21844584349777535</v>
      </c>
      <c r="K40" s="191">
        <v>111209</v>
      </c>
      <c r="L40" s="191">
        <v>64629</v>
      </c>
      <c r="M40" s="191">
        <v>367793</v>
      </c>
      <c r="N40" s="191">
        <v>411740</v>
      </c>
      <c r="O40" s="191">
        <v>444339</v>
      </c>
      <c r="P40" s="191">
        <v>468268</v>
      </c>
      <c r="Q40" s="192">
        <f>IFERROR(P40/O40-1,"-")</f>
        <v>5.3853026630568124E-2</v>
      </c>
      <c r="R40" s="192">
        <f t="shared" si="25"/>
        <v>0.18248144177594675</v>
      </c>
      <c r="S40" s="191">
        <v>152845</v>
      </c>
      <c r="T40" s="191">
        <v>481265</v>
      </c>
      <c r="U40" s="191">
        <v>535002</v>
      </c>
      <c r="V40" s="191">
        <v>575825</v>
      </c>
      <c r="W40" s="191">
        <v>591305</v>
      </c>
      <c r="X40" s="192">
        <f>IFERROR(W40/V40-1,"-")</f>
        <v>2.6883167629053961E-2</v>
      </c>
      <c r="Y40" s="192">
        <f>W40/W$8</f>
        <v>0.18895451484988421</v>
      </c>
    </row>
    <row r="41" spans="1:25" s="74" customFormat="1" x14ac:dyDescent="0.25">
      <c r="B41" s="194" t="s">
        <v>112</v>
      </c>
      <c r="C41" s="195">
        <v>20296</v>
      </c>
      <c r="D41" s="195">
        <v>5539</v>
      </c>
      <c r="E41" s="195">
        <v>55551</v>
      </c>
      <c r="F41" s="195">
        <v>54169</v>
      </c>
      <c r="G41" s="195">
        <v>56724</v>
      </c>
      <c r="H41" s="195">
        <v>49607</v>
      </c>
      <c r="I41" s="196">
        <f t="shared" ref="I41:I48" si="26">IFERROR(H41/G41-1,"-")</f>
        <v>-0.12546717438826605</v>
      </c>
      <c r="J41" s="196">
        <f t="shared" si="23"/>
        <v>8.807466825746843E-2</v>
      </c>
      <c r="K41" s="195">
        <v>51756</v>
      </c>
      <c r="L41" s="195">
        <v>17507</v>
      </c>
      <c r="M41" s="195">
        <v>196496</v>
      </c>
      <c r="N41" s="195">
        <v>225436</v>
      </c>
      <c r="O41" s="195">
        <v>253442</v>
      </c>
      <c r="P41" s="195">
        <v>260575</v>
      </c>
      <c r="Q41" s="196">
        <f t="shared" ref="Q41:Q48" si="27">IFERROR(P41/O41-1,"-")</f>
        <v>2.8144506435397343E-2</v>
      </c>
      <c r="R41" s="196">
        <f t="shared" si="25"/>
        <v>0.1015446319004658</v>
      </c>
      <c r="S41" s="195">
        <v>72052</v>
      </c>
      <c r="T41" s="195">
        <v>252047</v>
      </c>
      <c r="U41" s="195">
        <v>279605</v>
      </c>
      <c r="V41" s="195">
        <v>310166</v>
      </c>
      <c r="W41" s="195">
        <v>310182</v>
      </c>
      <c r="X41" s="196">
        <f t="shared" ref="X41:X48" si="28">IFERROR(W41/V41-1,"-")</f>
        <v>5.1585280140376E-5</v>
      </c>
      <c r="Y41" s="196">
        <f t="shared" ref="Y41:Y48" si="29">W41/W$8</f>
        <v>9.9120232917304582E-2</v>
      </c>
    </row>
    <row r="42" spans="1:25" s="74" customFormat="1" x14ac:dyDescent="0.25">
      <c r="B42" s="194" t="s">
        <v>115</v>
      </c>
      <c r="C42" s="195">
        <v>2984</v>
      </c>
      <c r="D42" s="195">
        <v>537</v>
      </c>
      <c r="E42" s="195">
        <v>5229</v>
      </c>
      <c r="F42" s="195">
        <v>7530</v>
      </c>
      <c r="G42" s="195">
        <v>7964</v>
      </c>
      <c r="H42" s="195">
        <v>8903</v>
      </c>
      <c r="I42" s="196">
        <f t="shared" si="26"/>
        <v>0.11790557508789545</v>
      </c>
      <c r="J42" s="196">
        <f t="shared" si="23"/>
        <v>1.580681701163629E-2</v>
      </c>
      <c r="K42" s="195">
        <v>6345</v>
      </c>
      <c r="L42" s="195">
        <v>4443</v>
      </c>
      <c r="M42" s="195">
        <v>13226</v>
      </c>
      <c r="N42" s="195">
        <v>16093</v>
      </c>
      <c r="O42" s="195">
        <v>13953</v>
      </c>
      <c r="P42" s="195">
        <v>14470</v>
      </c>
      <c r="Q42" s="196">
        <f t="shared" si="27"/>
        <v>3.7052963520389781E-2</v>
      </c>
      <c r="R42" s="196">
        <f t="shared" si="25"/>
        <v>5.6388787243585922E-3</v>
      </c>
      <c r="S42" s="195">
        <v>9329</v>
      </c>
      <c r="T42" s="195">
        <v>18455</v>
      </c>
      <c r="U42" s="195">
        <v>23623</v>
      </c>
      <c r="V42" s="195">
        <v>21917</v>
      </c>
      <c r="W42" s="195">
        <v>23373</v>
      </c>
      <c r="X42" s="196">
        <f t="shared" si="28"/>
        <v>6.6432449696582463E-2</v>
      </c>
      <c r="Y42" s="196">
        <f t="shared" si="29"/>
        <v>7.4689608164760042E-3</v>
      </c>
    </row>
    <row r="43" spans="1:25" x14ac:dyDescent="0.25">
      <c r="A43" s="74"/>
      <c r="B43" s="194" t="s">
        <v>118</v>
      </c>
      <c r="C43" s="195">
        <v>1797</v>
      </c>
      <c r="D43" s="195">
        <v>514</v>
      </c>
      <c r="E43" s="195">
        <v>4017</v>
      </c>
      <c r="F43" s="195">
        <v>5925</v>
      </c>
      <c r="G43" s="195">
        <v>6414</v>
      </c>
      <c r="H43" s="195">
        <v>6338</v>
      </c>
      <c r="I43" s="196">
        <f t="shared" si="26"/>
        <v>-1.1849080137199874E-2</v>
      </c>
      <c r="J43" s="196">
        <f t="shared" si="23"/>
        <v>1.1252791892592474E-2</v>
      </c>
      <c r="K43" s="195">
        <v>3010</v>
      </c>
      <c r="L43" s="195">
        <v>4886</v>
      </c>
      <c r="M43" s="195">
        <v>8793</v>
      </c>
      <c r="N43" s="195">
        <v>9077</v>
      </c>
      <c r="O43" s="195">
        <v>8364</v>
      </c>
      <c r="P43" s="195">
        <v>9895</v>
      </c>
      <c r="Q43" s="196">
        <f t="shared" si="27"/>
        <v>0.18304638928742234</v>
      </c>
      <c r="R43" s="196">
        <f t="shared" si="25"/>
        <v>3.8560266052196455E-3</v>
      </c>
      <c r="S43" s="195">
        <v>4807</v>
      </c>
      <c r="T43" s="195">
        <v>12810</v>
      </c>
      <c r="U43" s="195">
        <v>15002</v>
      </c>
      <c r="V43" s="195">
        <v>14778</v>
      </c>
      <c r="W43" s="195">
        <v>16233</v>
      </c>
      <c r="X43" s="196">
        <f t="shared" si="28"/>
        <v>9.84571660576532E-2</v>
      </c>
      <c r="Y43" s="196">
        <f t="shared" si="29"/>
        <v>5.1873375661598839E-3</v>
      </c>
    </row>
    <row r="44" spans="1:25" x14ac:dyDescent="0.25">
      <c r="A44" s="74"/>
      <c r="B44" s="194" t="s">
        <v>125</v>
      </c>
      <c r="C44" s="195">
        <v>773</v>
      </c>
      <c r="D44" s="195">
        <v>389</v>
      </c>
      <c r="E44" s="195">
        <v>2303</v>
      </c>
      <c r="F44" s="195">
        <v>2347</v>
      </c>
      <c r="G44" s="195">
        <v>2815</v>
      </c>
      <c r="H44" s="195">
        <v>2247</v>
      </c>
      <c r="I44" s="196">
        <f t="shared" si="26"/>
        <v>-0.20177619893428067</v>
      </c>
      <c r="J44" s="196">
        <f t="shared" si="23"/>
        <v>3.989432531185751E-3</v>
      </c>
      <c r="K44" s="195">
        <v>5342</v>
      </c>
      <c r="L44" s="195">
        <v>5901</v>
      </c>
      <c r="M44" s="195">
        <v>21493</v>
      </c>
      <c r="N44" s="195">
        <v>19781</v>
      </c>
      <c r="O44" s="195">
        <v>20917</v>
      </c>
      <c r="P44" s="195">
        <v>19715</v>
      </c>
      <c r="Q44" s="196">
        <f t="shared" si="27"/>
        <v>-5.7465219677774071E-2</v>
      </c>
      <c r="R44" s="196">
        <f t="shared" si="25"/>
        <v>7.6828261265189804E-3</v>
      </c>
      <c r="S44" s="195">
        <v>6115</v>
      </c>
      <c r="T44" s="195">
        <v>23796</v>
      </c>
      <c r="U44" s="195">
        <v>22128</v>
      </c>
      <c r="V44" s="195">
        <v>23732</v>
      </c>
      <c r="W44" s="195">
        <v>21962</v>
      </c>
      <c r="X44" s="196">
        <f t="shared" si="28"/>
        <v>-7.4582841732681593E-2</v>
      </c>
      <c r="Y44" s="196">
        <f t="shared" si="29"/>
        <v>7.0180686027230569E-3</v>
      </c>
    </row>
    <row r="45" spans="1:25" x14ac:dyDescent="0.25">
      <c r="A45" s="74"/>
      <c r="B45" s="194" t="s">
        <v>121</v>
      </c>
      <c r="C45" s="195">
        <v>993</v>
      </c>
      <c r="D45" s="195">
        <v>200</v>
      </c>
      <c r="E45" s="195">
        <v>1246</v>
      </c>
      <c r="F45" s="195">
        <v>1510</v>
      </c>
      <c r="G45" s="195">
        <v>1670</v>
      </c>
      <c r="H45" s="195">
        <v>2329</v>
      </c>
      <c r="I45" s="196">
        <f t="shared" si="26"/>
        <v>0.39461077844311387</v>
      </c>
      <c r="J45" s="196">
        <f t="shared" si="23"/>
        <v>4.135019299123994E-3</v>
      </c>
      <c r="K45" s="195">
        <v>9394</v>
      </c>
      <c r="L45" s="195">
        <v>7085</v>
      </c>
      <c r="M45" s="195">
        <v>20577</v>
      </c>
      <c r="N45" s="195">
        <v>24512</v>
      </c>
      <c r="O45" s="195">
        <v>24813</v>
      </c>
      <c r="P45" s="195">
        <v>21094</v>
      </c>
      <c r="Q45" s="196">
        <f t="shared" si="27"/>
        <v>-0.14988111070809651</v>
      </c>
      <c r="R45" s="196">
        <f t="shared" si="25"/>
        <v>8.2202147762004251E-3</v>
      </c>
      <c r="S45" s="195">
        <v>10387</v>
      </c>
      <c r="T45" s="195">
        <v>21823</v>
      </c>
      <c r="U45" s="195">
        <v>26022</v>
      </c>
      <c r="V45" s="195">
        <v>26483</v>
      </c>
      <c r="W45" s="195">
        <v>23423</v>
      </c>
      <c r="X45" s="196">
        <f t="shared" si="28"/>
        <v>-0.1155458218479779</v>
      </c>
      <c r="Y45" s="196">
        <f t="shared" si="29"/>
        <v>7.4849385703297583E-3</v>
      </c>
    </row>
    <row r="46" spans="1:25" x14ac:dyDescent="0.25">
      <c r="A46" s="74"/>
      <c r="B46" s="194" t="s">
        <v>130</v>
      </c>
      <c r="C46" s="195">
        <v>1097</v>
      </c>
      <c r="D46" s="195">
        <v>13</v>
      </c>
      <c r="E46" s="195">
        <v>1662</v>
      </c>
      <c r="F46" s="195">
        <v>1718</v>
      </c>
      <c r="G46" s="195">
        <v>1021</v>
      </c>
      <c r="H46" s="195">
        <v>1234</v>
      </c>
      <c r="I46" s="196">
        <f t="shared" si="26"/>
        <v>0.20861900097943198</v>
      </c>
      <c r="J46" s="196">
        <f t="shared" si="23"/>
        <v>2.1909033126316052E-3</v>
      </c>
      <c r="K46" s="195">
        <v>2224</v>
      </c>
      <c r="L46" s="195">
        <v>961</v>
      </c>
      <c r="M46" s="195">
        <v>3870</v>
      </c>
      <c r="N46" s="195">
        <v>4715</v>
      </c>
      <c r="O46" s="195">
        <v>4415</v>
      </c>
      <c r="P46" s="195">
        <v>5529</v>
      </c>
      <c r="Q46" s="196">
        <f t="shared" si="27"/>
        <v>0.25232163080407699</v>
      </c>
      <c r="R46" s="196">
        <f t="shared" si="25"/>
        <v>2.1546206266052975E-3</v>
      </c>
      <c r="S46" s="195">
        <v>3321</v>
      </c>
      <c r="T46" s="195">
        <v>5532</v>
      </c>
      <c r="U46" s="195">
        <v>6433</v>
      </c>
      <c r="V46" s="195">
        <v>5436</v>
      </c>
      <c r="W46" s="195">
        <v>6763</v>
      </c>
      <c r="X46" s="196">
        <f t="shared" si="28"/>
        <v>0.24411331861662977</v>
      </c>
      <c r="Y46" s="196">
        <f t="shared" si="29"/>
        <v>2.1611509862588122E-3</v>
      </c>
    </row>
    <row r="47" spans="1:25" x14ac:dyDescent="0.25">
      <c r="A47" s="74"/>
      <c r="B47" s="194" t="s">
        <v>133</v>
      </c>
      <c r="C47" s="195">
        <v>1065</v>
      </c>
      <c r="D47" s="195">
        <v>15</v>
      </c>
      <c r="E47" s="195">
        <v>794</v>
      </c>
      <c r="F47" s="195">
        <v>1099</v>
      </c>
      <c r="G47" s="195">
        <v>888</v>
      </c>
      <c r="H47" s="195">
        <v>796</v>
      </c>
      <c r="I47" s="196">
        <f t="shared" si="26"/>
        <v>-0.10360360360360366</v>
      </c>
      <c r="J47" s="196">
        <f t="shared" si="23"/>
        <v>1.4132569180346497E-3</v>
      </c>
      <c r="K47" s="195">
        <v>3698</v>
      </c>
      <c r="L47" s="195">
        <v>649</v>
      </c>
      <c r="M47" s="195">
        <v>3177</v>
      </c>
      <c r="N47" s="195">
        <v>4981</v>
      </c>
      <c r="O47" s="195">
        <v>4526</v>
      </c>
      <c r="P47" s="195">
        <v>3972</v>
      </c>
      <c r="Q47" s="196">
        <f t="shared" si="27"/>
        <v>-0.12240388864339369</v>
      </c>
      <c r="R47" s="196">
        <f t="shared" si="25"/>
        <v>1.5478663644196496E-3</v>
      </c>
      <c r="S47" s="195">
        <v>4763</v>
      </c>
      <c r="T47" s="195">
        <v>3971</v>
      </c>
      <c r="U47" s="195">
        <v>6080</v>
      </c>
      <c r="V47" s="195">
        <v>5414</v>
      </c>
      <c r="W47" s="195">
        <v>4768</v>
      </c>
      <c r="X47" s="196">
        <f t="shared" si="28"/>
        <v>-0.11932028075360179</v>
      </c>
      <c r="Y47" s="196">
        <f t="shared" si="29"/>
        <v>1.523638607494014E-3</v>
      </c>
    </row>
    <row r="48" spans="1:25" x14ac:dyDescent="0.25">
      <c r="A48" s="74"/>
      <c r="B48" s="199" t="s">
        <v>147</v>
      </c>
      <c r="C48" s="200">
        <f t="shared" ref="C48" si="30">C40-SUM(C41:C47)</f>
        <v>12631</v>
      </c>
      <c r="D48" s="200">
        <f t="shared" ref="D48:H48" si="31">D40-SUM(D41:D47)</f>
        <v>7593</v>
      </c>
      <c r="E48" s="200">
        <f t="shared" si="31"/>
        <v>42670</v>
      </c>
      <c r="F48" s="200">
        <f t="shared" si="31"/>
        <v>48964</v>
      </c>
      <c r="G48" s="200">
        <f t="shared" si="31"/>
        <v>53990</v>
      </c>
      <c r="H48" s="200">
        <f t="shared" si="31"/>
        <v>51583</v>
      </c>
      <c r="I48" s="201">
        <f t="shared" si="26"/>
        <v>-4.4582330061122444E-2</v>
      </c>
      <c r="J48" s="201">
        <f t="shared" si="23"/>
        <v>9.1582954275102171E-2</v>
      </c>
      <c r="K48" s="200">
        <f t="shared" ref="K48:P48" si="32">K40-SUM(K41:K47)</f>
        <v>29440</v>
      </c>
      <c r="L48" s="200">
        <f t="shared" si="32"/>
        <v>23197</v>
      </c>
      <c r="M48" s="200">
        <f t="shared" si="32"/>
        <v>100161</v>
      </c>
      <c r="N48" s="200">
        <f t="shared" si="32"/>
        <v>107145</v>
      </c>
      <c r="O48" s="200">
        <f t="shared" si="32"/>
        <v>113909</v>
      </c>
      <c r="P48" s="200">
        <f t="shared" si="32"/>
        <v>133018</v>
      </c>
      <c r="Q48" s="201">
        <f t="shared" si="27"/>
        <v>0.16775671808197767</v>
      </c>
      <c r="R48" s="201">
        <f t="shared" si="25"/>
        <v>5.1836376652158345E-2</v>
      </c>
      <c r="S48" s="200">
        <f>S40-SUM(S41:S47)</f>
        <v>42071</v>
      </c>
      <c r="T48" s="200">
        <f>T40-SUM(T41:T47)</f>
        <v>142831</v>
      </c>
      <c r="U48" s="200">
        <f>U40-SUM(U41:U47)</f>
        <v>156109</v>
      </c>
      <c r="V48" s="200">
        <f>V40-SUM(V41:V47)</f>
        <v>167899</v>
      </c>
      <c r="W48" s="200">
        <f>W40-SUM(W41:W47)</f>
        <v>184601</v>
      </c>
      <c r="X48" s="201">
        <f t="shared" si="28"/>
        <v>9.9476470973621112E-2</v>
      </c>
      <c r="Y48" s="201">
        <f t="shared" si="29"/>
        <v>5.8990186783138103E-2</v>
      </c>
    </row>
    <row r="49" spans="1:25" x14ac:dyDescent="0.25">
      <c r="A49" s="74"/>
      <c r="B49" s="186" t="s">
        <v>48</v>
      </c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  <c r="Y49" s="184"/>
    </row>
    <row r="50" spans="1:25" x14ac:dyDescent="0.25">
      <c r="A50" s="74"/>
      <c r="B50" s="187" t="s">
        <v>70</v>
      </c>
      <c r="C50" s="209">
        <f t="shared" ref="C50:H50" si="33">C51+C54</f>
        <v>1275</v>
      </c>
      <c r="D50" s="209">
        <f t="shared" si="33"/>
        <v>3463</v>
      </c>
      <c r="E50" s="209">
        <f t="shared" si="33"/>
        <v>0</v>
      </c>
      <c r="F50" s="209">
        <f t="shared" si="33"/>
        <v>0</v>
      </c>
      <c r="G50" s="209">
        <f t="shared" si="33"/>
        <v>0</v>
      </c>
      <c r="H50" s="209">
        <f t="shared" si="33"/>
        <v>0</v>
      </c>
      <c r="I50" s="210" t="str">
        <f>IFERROR(H50/G50-1,"-")</f>
        <v>-</v>
      </c>
      <c r="J50" s="210">
        <f t="shared" ref="J50:J62" si="34">H50/H$8</f>
        <v>0</v>
      </c>
      <c r="K50" s="209">
        <f t="shared" ref="K50:P50" si="35">K51+K54</f>
        <v>0</v>
      </c>
      <c r="L50" s="209">
        <f t="shared" si="35"/>
        <v>0</v>
      </c>
      <c r="M50" s="209">
        <f t="shared" si="35"/>
        <v>0</v>
      </c>
      <c r="N50" s="209">
        <f t="shared" si="35"/>
        <v>0</v>
      </c>
      <c r="O50" s="209">
        <f t="shared" si="35"/>
        <v>0</v>
      </c>
      <c r="P50" s="209">
        <f t="shared" si="35"/>
        <v>0</v>
      </c>
      <c r="Q50" s="210" t="str">
        <f>IFERROR(P50/O50-1,"-")</f>
        <v>-</v>
      </c>
      <c r="R50" s="210">
        <f t="shared" ref="R50:R62" si="36">P50/P$8</f>
        <v>0</v>
      </c>
      <c r="S50" s="209">
        <f>S51+S54</f>
        <v>9467</v>
      </c>
      <c r="T50" s="209">
        <f>T51+T54</f>
        <v>25651</v>
      </c>
      <c r="U50" s="209">
        <f>U51+U54</f>
        <v>36596</v>
      </c>
      <c r="V50" s="209">
        <f>V51+V54</f>
        <v>31559</v>
      </c>
      <c r="W50" s="209">
        <f>W51+W54</f>
        <v>31490</v>
      </c>
      <c r="X50" s="210">
        <f>IFERROR(W50/V50-1,"-")</f>
        <v>-2.1863810640387893E-3</v>
      </c>
      <c r="Y50" s="210">
        <f>W50/W$8</f>
        <v>1.0062789377094483E-2</v>
      </c>
    </row>
    <row r="51" spans="1:25" x14ac:dyDescent="0.25">
      <c r="A51" s="74"/>
      <c r="B51" s="190" t="s">
        <v>99</v>
      </c>
      <c r="C51" s="191">
        <v>1006</v>
      </c>
      <c r="D51" s="191">
        <v>787</v>
      </c>
      <c r="E51" s="191">
        <v>0</v>
      </c>
      <c r="F51" s="191">
        <v>0</v>
      </c>
      <c r="G51" s="191">
        <v>0</v>
      </c>
      <c r="H51" s="191">
        <v>0</v>
      </c>
      <c r="I51" s="192" t="str">
        <f>IFERROR(H51/G51-1,"-")</f>
        <v>-</v>
      </c>
      <c r="J51" s="192">
        <f t="shared" si="34"/>
        <v>0</v>
      </c>
      <c r="K51" s="191">
        <v>0</v>
      </c>
      <c r="L51" s="191">
        <v>0</v>
      </c>
      <c r="M51" s="191">
        <v>0</v>
      </c>
      <c r="N51" s="191">
        <v>0</v>
      </c>
      <c r="O51" s="191">
        <v>0</v>
      </c>
      <c r="P51" s="191">
        <v>0</v>
      </c>
      <c r="Q51" s="192" t="str">
        <f>IFERROR(P51/O51-1,"-")</f>
        <v>-</v>
      </c>
      <c r="R51" s="192">
        <f t="shared" si="36"/>
        <v>0</v>
      </c>
      <c r="S51" s="191">
        <v>1779</v>
      </c>
      <c r="T51" s="191">
        <v>4228</v>
      </c>
      <c r="U51" s="191">
        <v>16245</v>
      </c>
      <c r="V51" s="191">
        <v>8595</v>
      </c>
      <c r="W51" s="191">
        <v>6923</v>
      </c>
      <c r="X51" s="192">
        <f>IFERROR(W51/V51-1,"-")</f>
        <v>-0.19453170447934842</v>
      </c>
      <c r="Y51" s="192">
        <f>W51/W$8</f>
        <v>2.212279798590826E-3</v>
      </c>
    </row>
    <row r="52" spans="1:25" x14ac:dyDescent="0.25">
      <c r="A52" s="74"/>
      <c r="B52" s="194" t="s">
        <v>105</v>
      </c>
      <c r="C52" s="195">
        <v>965</v>
      </c>
      <c r="D52" s="195">
        <v>309</v>
      </c>
      <c r="E52" s="195">
        <v>0</v>
      </c>
      <c r="F52" s="195">
        <v>0</v>
      </c>
      <c r="G52" s="195">
        <v>0</v>
      </c>
      <c r="H52" s="195">
        <v>0</v>
      </c>
      <c r="I52" s="196" t="str">
        <f>IFERROR(H52/G52-1,"-")</f>
        <v>-</v>
      </c>
      <c r="J52" s="196">
        <f t="shared" si="34"/>
        <v>0</v>
      </c>
      <c r="K52" s="195">
        <v>0</v>
      </c>
      <c r="L52" s="195">
        <v>0</v>
      </c>
      <c r="M52" s="195">
        <v>0</v>
      </c>
      <c r="N52" s="195">
        <v>0</v>
      </c>
      <c r="O52" s="195">
        <v>0</v>
      </c>
      <c r="P52" s="195">
        <v>0</v>
      </c>
      <c r="Q52" s="196" t="str">
        <f>IFERROR(P52/O52-1,"-")</f>
        <v>-</v>
      </c>
      <c r="R52" s="196">
        <f t="shared" si="36"/>
        <v>0</v>
      </c>
      <c r="S52" s="195">
        <v>1332</v>
      </c>
      <c r="T52" s="195">
        <v>2187</v>
      </c>
      <c r="U52" s="195">
        <v>12177</v>
      </c>
      <c r="V52" s="195">
        <v>5827</v>
      </c>
      <c r="W52" s="195">
        <v>4079</v>
      </c>
      <c r="X52" s="196">
        <f>IFERROR(W52/V52-1,"-")</f>
        <v>-0.29998283851038265</v>
      </c>
      <c r="Y52" s="196">
        <f>W52/W$8</f>
        <v>1.3034651593892791E-3</v>
      </c>
    </row>
    <row r="53" spans="1:25" x14ac:dyDescent="0.25">
      <c r="A53" s="74"/>
      <c r="B53" s="194" t="s">
        <v>102</v>
      </c>
      <c r="C53" s="195">
        <v>41</v>
      </c>
      <c r="D53" s="195">
        <v>478</v>
      </c>
      <c r="E53" s="195">
        <v>0</v>
      </c>
      <c r="F53" s="195">
        <v>0</v>
      </c>
      <c r="G53" s="195">
        <v>0</v>
      </c>
      <c r="H53" s="195">
        <v>0</v>
      </c>
      <c r="I53" s="196" t="str">
        <f>IFERROR(H53/G53-1,"-")</f>
        <v>-</v>
      </c>
      <c r="J53" s="196">
        <f t="shared" si="34"/>
        <v>0</v>
      </c>
      <c r="K53" s="195">
        <v>0</v>
      </c>
      <c r="L53" s="195">
        <v>0</v>
      </c>
      <c r="M53" s="195">
        <v>0</v>
      </c>
      <c r="N53" s="195">
        <v>0</v>
      </c>
      <c r="O53" s="195">
        <v>0</v>
      </c>
      <c r="P53" s="195">
        <v>0</v>
      </c>
      <c r="Q53" s="196" t="str">
        <f>IFERROR(P53/O53-1,"-")</f>
        <v>-</v>
      </c>
      <c r="R53" s="196">
        <f t="shared" si="36"/>
        <v>0</v>
      </c>
      <c r="S53" s="195">
        <v>447</v>
      </c>
      <c r="T53" s="195">
        <v>2041</v>
      </c>
      <c r="U53" s="195">
        <v>4068</v>
      </c>
      <c r="V53" s="195">
        <v>2768</v>
      </c>
      <c r="W53" s="195">
        <v>2844</v>
      </c>
      <c r="X53" s="196">
        <f>IFERROR(W53/V53-1,"-")</f>
        <v>2.7456647398844014E-2</v>
      </c>
      <c r="Y53" s="196">
        <f>W53/W$8</f>
        <v>9.0881463920154692E-4</v>
      </c>
    </row>
    <row r="54" spans="1:25" x14ac:dyDescent="0.25">
      <c r="A54" s="74"/>
      <c r="B54" s="190" t="s">
        <v>109</v>
      </c>
      <c r="C54" s="191">
        <v>269</v>
      </c>
      <c r="D54" s="191">
        <v>2676</v>
      </c>
      <c r="E54" s="191">
        <v>0</v>
      </c>
      <c r="F54" s="191">
        <v>0</v>
      </c>
      <c r="G54" s="191">
        <v>0</v>
      </c>
      <c r="H54" s="191">
        <v>0</v>
      </c>
      <c r="I54" s="192" t="str">
        <f>IFERROR(H54/G54-1,"-")</f>
        <v>-</v>
      </c>
      <c r="J54" s="192">
        <f t="shared" si="34"/>
        <v>0</v>
      </c>
      <c r="K54" s="191">
        <v>0</v>
      </c>
      <c r="L54" s="191">
        <v>0</v>
      </c>
      <c r="M54" s="191">
        <v>0</v>
      </c>
      <c r="N54" s="191">
        <v>0</v>
      </c>
      <c r="O54" s="191">
        <v>0</v>
      </c>
      <c r="P54" s="191">
        <v>0</v>
      </c>
      <c r="Q54" s="192" t="str">
        <f>IFERROR(P54/O54-1,"-")</f>
        <v>-</v>
      </c>
      <c r="R54" s="192">
        <f t="shared" si="36"/>
        <v>0</v>
      </c>
      <c r="S54" s="191">
        <v>7688</v>
      </c>
      <c r="T54" s="191">
        <v>21423</v>
      </c>
      <c r="U54" s="191">
        <v>20351</v>
      </c>
      <c r="V54" s="191">
        <v>22964</v>
      </c>
      <c r="W54" s="191">
        <v>24567</v>
      </c>
      <c r="X54" s="192">
        <f>IFERROR(W54/V54-1,"-")</f>
        <v>6.9804912036230515E-2</v>
      </c>
      <c r="Y54" s="192">
        <f>W54/W$8</f>
        <v>7.8505095785036585E-3</v>
      </c>
    </row>
    <row r="55" spans="1:25" s="74" customFormat="1" x14ac:dyDescent="0.25">
      <c r="B55" s="194" t="s">
        <v>112</v>
      </c>
      <c r="C55" s="195">
        <v>37</v>
      </c>
      <c r="D55" s="195">
        <v>55</v>
      </c>
      <c r="E55" s="195">
        <v>0</v>
      </c>
      <c r="F55" s="195">
        <v>0</v>
      </c>
      <c r="G55" s="195">
        <v>0</v>
      </c>
      <c r="H55" s="195">
        <v>0</v>
      </c>
      <c r="I55" s="196" t="str">
        <f t="shared" ref="I55:I62" si="37">IFERROR(H55/G55-1,"-")</f>
        <v>-</v>
      </c>
      <c r="J55" s="196">
        <f t="shared" si="34"/>
        <v>0</v>
      </c>
      <c r="K55" s="195">
        <v>0</v>
      </c>
      <c r="L55" s="195">
        <v>0</v>
      </c>
      <c r="M55" s="195">
        <v>0</v>
      </c>
      <c r="N55" s="195">
        <v>0</v>
      </c>
      <c r="O55" s="195">
        <v>0</v>
      </c>
      <c r="P55" s="195">
        <v>0</v>
      </c>
      <c r="Q55" s="196" t="str">
        <f t="shared" ref="Q55:Q62" si="38">IFERROR(P55/O55-1,"-")</f>
        <v>-</v>
      </c>
      <c r="R55" s="196">
        <f t="shared" si="36"/>
        <v>0</v>
      </c>
      <c r="S55" s="195">
        <v>2338</v>
      </c>
      <c r="T55" s="195">
        <v>7632</v>
      </c>
      <c r="U55" s="195">
        <v>6643</v>
      </c>
      <c r="V55" s="195">
        <v>8156</v>
      </c>
      <c r="W55" s="195">
        <v>8933</v>
      </c>
      <c r="X55" s="196">
        <f t="shared" ref="X55:X62" si="39">IFERROR(W55/V55-1,"-")</f>
        <v>9.5267287886218632E-2</v>
      </c>
      <c r="Y55" s="196">
        <f t="shared" ref="Y55:Y62" si="40">W55/W$8</f>
        <v>2.8545855035117507E-3</v>
      </c>
    </row>
    <row r="56" spans="1:25" s="74" customFormat="1" x14ac:dyDescent="0.25">
      <c r="B56" s="194" t="s">
        <v>115</v>
      </c>
      <c r="C56" s="195">
        <v>68</v>
      </c>
      <c r="D56" s="195">
        <v>1007</v>
      </c>
      <c r="E56" s="195">
        <v>0</v>
      </c>
      <c r="F56" s="195">
        <v>0</v>
      </c>
      <c r="G56" s="195">
        <v>0</v>
      </c>
      <c r="H56" s="195">
        <v>0</v>
      </c>
      <c r="I56" s="196" t="str">
        <f t="shared" si="37"/>
        <v>-</v>
      </c>
      <c r="J56" s="196">
        <f t="shared" si="34"/>
        <v>0</v>
      </c>
      <c r="K56" s="195">
        <v>0</v>
      </c>
      <c r="L56" s="195">
        <v>0</v>
      </c>
      <c r="M56" s="195">
        <v>0</v>
      </c>
      <c r="N56" s="195">
        <v>0</v>
      </c>
      <c r="O56" s="195">
        <v>0</v>
      </c>
      <c r="P56" s="195">
        <v>0</v>
      </c>
      <c r="Q56" s="196" t="str">
        <f t="shared" si="38"/>
        <v>-</v>
      </c>
      <c r="R56" s="196">
        <f t="shared" si="36"/>
        <v>0</v>
      </c>
      <c r="S56" s="195">
        <v>2232</v>
      </c>
      <c r="T56" s="195">
        <v>4682</v>
      </c>
      <c r="U56" s="195">
        <v>3480</v>
      </c>
      <c r="V56" s="195">
        <v>4392</v>
      </c>
      <c r="W56" s="195">
        <v>4601</v>
      </c>
      <c r="X56" s="196">
        <f t="shared" si="39"/>
        <v>4.7586520947176636E-2</v>
      </c>
      <c r="Y56" s="196">
        <f t="shared" si="40"/>
        <v>1.4702729096224745E-3</v>
      </c>
    </row>
    <row r="57" spans="1:25" x14ac:dyDescent="0.25">
      <c r="A57" s="74"/>
      <c r="B57" s="194" t="s">
        <v>118</v>
      </c>
      <c r="C57" s="195">
        <v>47</v>
      </c>
      <c r="D57" s="195">
        <v>446</v>
      </c>
      <c r="E57" s="195">
        <v>0</v>
      </c>
      <c r="F57" s="195">
        <v>0</v>
      </c>
      <c r="G57" s="195">
        <v>0</v>
      </c>
      <c r="H57" s="195">
        <v>0</v>
      </c>
      <c r="I57" s="196" t="str">
        <f t="shared" si="37"/>
        <v>-</v>
      </c>
      <c r="J57" s="196">
        <f t="shared" si="34"/>
        <v>0</v>
      </c>
      <c r="K57" s="195">
        <v>0</v>
      </c>
      <c r="L57" s="195">
        <v>0</v>
      </c>
      <c r="M57" s="195">
        <v>0</v>
      </c>
      <c r="N57" s="195">
        <v>0</v>
      </c>
      <c r="O57" s="195">
        <v>0</v>
      </c>
      <c r="P57" s="195">
        <v>0</v>
      </c>
      <c r="Q57" s="196" t="str">
        <f t="shared" si="38"/>
        <v>-</v>
      </c>
      <c r="R57" s="196">
        <f t="shared" si="36"/>
        <v>0</v>
      </c>
      <c r="S57" s="195">
        <v>440</v>
      </c>
      <c r="T57" s="195">
        <v>1821</v>
      </c>
      <c r="U57" s="195">
        <v>2075</v>
      </c>
      <c r="V57" s="195">
        <v>1710</v>
      </c>
      <c r="W57" s="195">
        <v>1941</v>
      </c>
      <c r="X57" s="196">
        <f t="shared" si="39"/>
        <v>0.13508771929824559</v>
      </c>
      <c r="Y57" s="196">
        <f t="shared" si="40"/>
        <v>6.2025640460274347E-4</v>
      </c>
    </row>
    <row r="58" spans="1:25" x14ac:dyDescent="0.25">
      <c r="A58" s="74"/>
      <c r="B58" s="194" t="s">
        <v>125</v>
      </c>
      <c r="C58" s="195">
        <v>25</v>
      </c>
      <c r="D58" s="195">
        <v>55</v>
      </c>
      <c r="E58" s="195">
        <v>0</v>
      </c>
      <c r="F58" s="195">
        <v>0</v>
      </c>
      <c r="G58" s="195">
        <v>0</v>
      </c>
      <c r="H58" s="195">
        <v>0</v>
      </c>
      <c r="I58" s="196" t="str">
        <f t="shared" si="37"/>
        <v>-</v>
      </c>
      <c r="J58" s="196">
        <f t="shared" si="34"/>
        <v>0</v>
      </c>
      <c r="K58" s="195">
        <v>0</v>
      </c>
      <c r="L58" s="195">
        <v>0</v>
      </c>
      <c r="M58" s="195">
        <v>0</v>
      </c>
      <c r="N58" s="195">
        <v>0</v>
      </c>
      <c r="O58" s="195">
        <v>0</v>
      </c>
      <c r="P58" s="195">
        <v>0</v>
      </c>
      <c r="Q58" s="196" t="str">
        <f t="shared" si="38"/>
        <v>-</v>
      </c>
      <c r="R58" s="196">
        <f t="shared" si="36"/>
        <v>0</v>
      </c>
      <c r="S58" s="195">
        <v>230</v>
      </c>
      <c r="T58" s="195">
        <v>605</v>
      </c>
      <c r="U58" s="195">
        <v>443</v>
      </c>
      <c r="V58" s="195">
        <v>756</v>
      </c>
      <c r="W58" s="195">
        <v>750</v>
      </c>
      <c r="X58" s="196">
        <f t="shared" si="39"/>
        <v>-7.9365079365079083E-3</v>
      </c>
      <c r="Y58" s="196">
        <f t="shared" si="40"/>
        <v>2.3966630780631511E-4</v>
      </c>
    </row>
    <row r="59" spans="1:25" x14ac:dyDescent="0.25">
      <c r="A59" s="74"/>
      <c r="B59" s="194" t="s">
        <v>121</v>
      </c>
      <c r="C59" s="195">
        <v>26</v>
      </c>
      <c r="D59" s="195">
        <v>80</v>
      </c>
      <c r="E59" s="195">
        <v>0</v>
      </c>
      <c r="F59" s="195">
        <v>0</v>
      </c>
      <c r="G59" s="195">
        <v>0</v>
      </c>
      <c r="H59" s="195">
        <v>0</v>
      </c>
      <c r="I59" s="196" t="str">
        <f t="shared" si="37"/>
        <v>-</v>
      </c>
      <c r="J59" s="196">
        <f t="shared" si="34"/>
        <v>0</v>
      </c>
      <c r="K59" s="195">
        <v>0</v>
      </c>
      <c r="L59" s="195">
        <v>0</v>
      </c>
      <c r="M59" s="195">
        <v>0</v>
      </c>
      <c r="N59" s="195">
        <v>0</v>
      </c>
      <c r="O59" s="195">
        <v>0</v>
      </c>
      <c r="P59" s="195">
        <v>0</v>
      </c>
      <c r="Q59" s="196" t="str">
        <f t="shared" si="38"/>
        <v>-</v>
      </c>
      <c r="R59" s="196">
        <f t="shared" si="36"/>
        <v>0</v>
      </c>
      <c r="S59" s="195">
        <v>161</v>
      </c>
      <c r="T59" s="195">
        <v>538</v>
      </c>
      <c r="U59" s="195">
        <v>447</v>
      </c>
      <c r="V59" s="195">
        <v>502</v>
      </c>
      <c r="W59" s="195">
        <v>609</v>
      </c>
      <c r="X59" s="196">
        <f t="shared" si="39"/>
        <v>0.21314741035856577</v>
      </c>
      <c r="Y59" s="196">
        <f t="shared" si="40"/>
        <v>1.9460904193872787E-4</v>
      </c>
    </row>
    <row r="60" spans="1:25" x14ac:dyDescent="0.25">
      <c r="A60" s="74"/>
      <c r="B60" s="194" t="s">
        <v>130</v>
      </c>
      <c r="C60" s="195">
        <v>0</v>
      </c>
      <c r="D60" s="195">
        <v>22</v>
      </c>
      <c r="E60" s="195">
        <v>0</v>
      </c>
      <c r="F60" s="195">
        <v>0</v>
      </c>
      <c r="G60" s="195">
        <v>0</v>
      </c>
      <c r="H60" s="195">
        <v>0</v>
      </c>
      <c r="I60" s="196" t="str">
        <f t="shared" si="37"/>
        <v>-</v>
      </c>
      <c r="J60" s="196">
        <f t="shared" si="34"/>
        <v>0</v>
      </c>
      <c r="K60" s="195">
        <v>0</v>
      </c>
      <c r="L60" s="195">
        <v>0</v>
      </c>
      <c r="M60" s="195">
        <v>0</v>
      </c>
      <c r="N60" s="195">
        <v>0</v>
      </c>
      <c r="O60" s="195">
        <v>0</v>
      </c>
      <c r="P60" s="195">
        <v>0</v>
      </c>
      <c r="Q60" s="196" t="str">
        <f t="shared" si="38"/>
        <v>-</v>
      </c>
      <c r="R60" s="196">
        <f t="shared" si="36"/>
        <v>0</v>
      </c>
      <c r="S60" s="195">
        <v>76</v>
      </c>
      <c r="T60" s="195">
        <v>62</v>
      </c>
      <c r="U60" s="195">
        <v>165</v>
      </c>
      <c r="V60" s="195">
        <v>96</v>
      </c>
      <c r="W60" s="195">
        <v>174</v>
      </c>
      <c r="X60" s="196">
        <f t="shared" si="39"/>
        <v>0.8125</v>
      </c>
      <c r="Y60" s="196">
        <f t="shared" si="40"/>
        <v>5.5602583411065105E-5</v>
      </c>
    </row>
    <row r="61" spans="1:25" x14ac:dyDescent="0.25">
      <c r="A61" s="74"/>
      <c r="B61" s="194" t="s">
        <v>133</v>
      </c>
      <c r="C61" s="195">
        <v>0</v>
      </c>
      <c r="D61" s="195">
        <v>14</v>
      </c>
      <c r="E61" s="195">
        <v>0</v>
      </c>
      <c r="F61" s="195">
        <v>0</v>
      </c>
      <c r="G61" s="195">
        <v>0</v>
      </c>
      <c r="H61" s="195">
        <v>0</v>
      </c>
      <c r="I61" s="196" t="str">
        <f t="shared" si="37"/>
        <v>-</v>
      </c>
      <c r="J61" s="196">
        <f t="shared" si="34"/>
        <v>0</v>
      </c>
      <c r="K61" s="195">
        <v>0</v>
      </c>
      <c r="L61" s="195">
        <v>0</v>
      </c>
      <c r="M61" s="195">
        <v>0</v>
      </c>
      <c r="N61" s="195">
        <v>0</v>
      </c>
      <c r="O61" s="195">
        <v>0</v>
      </c>
      <c r="P61" s="195">
        <v>0</v>
      </c>
      <c r="Q61" s="196" t="str">
        <f t="shared" si="38"/>
        <v>-</v>
      </c>
      <c r="R61" s="196">
        <f t="shared" si="36"/>
        <v>0</v>
      </c>
      <c r="S61" s="195">
        <v>105</v>
      </c>
      <c r="T61" s="195">
        <v>97</v>
      </c>
      <c r="U61" s="195">
        <v>140</v>
      </c>
      <c r="V61" s="195">
        <v>90</v>
      </c>
      <c r="W61" s="195">
        <v>417</v>
      </c>
      <c r="X61" s="196">
        <f t="shared" si="39"/>
        <v>3.6333333333333337</v>
      </c>
      <c r="Y61" s="196">
        <f t="shared" si="40"/>
        <v>1.3325446714031121E-4</v>
      </c>
    </row>
    <row r="62" spans="1:25" x14ac:dyDescent="0.25">
      <c r="A62" s="74"/>
      <c r="B62" s="199" t="s">
        <v>147</v>
      </c>
      <c r="C62" s="200">
        <f t="shared" ref="C62" si="41">C54-SUM(C55:C61)</f>
        <v>66</v>
      </c>
      <c r="D62" s="200">
        <f t="shared" ref="D62:H62" si="42">D54-SUM(D55:D61)</f>
        <v>997</v>
      </c>
      <c r="E62" s="200">
        <f t="shared" si="42"/>
        <v>0</v>
      </c>
      <c r="F62" s="200">
        <f t="shared" si="42"/>
        <v>0</v>
      </c>
      <c r="G62" s="200">
        <f t="shared" si="42"/>
        <v>0</v>
      </c>
      <c r="H62" s="200">
        <f t="shared" si="42"/>
        <v>0</v>
      </c>
      <c r="I62" s="201" t="str">
        <f t="shared" si="37"/>
        <v>-</v>
      </c>
      <c r="J62" s="201">
        <f t="shared" si="34"/>
        <v>0</v>
      </c>
      <c r="K62" s="200">
        <f t="shared" ref="K62:P62" si="43">K54-SUM(K55:K61)</f>
        <v>0</v>
      </c>
      <c r="L62" s="200">
        <f t="shared" si="43"/>
        <v>0</v>
      </c>
      <c r="M62" s="200">
        <f t="shared" si="43"/>
        <v>0</v>
      </c>
      <c r="N62" s="200">
        <f t="shared" si="43"/>
        <v>0</v>
      </c>
      <c r="O62" s="200">
        <f t="shared" si="43"/>
        <v>0</v>
      </c>
      <c r="P62" s="200">
        <f t="shared" si="43"/>
        <v>0</v>
      </c>
      <c r="Q62" s="201" t="str">
        <f t="shared" si="38"/>
        <v>-</v>
      </c>
      <c r="R62" s="201">
        <f t="shared" si="36"/>
        <v>0</v>
      </c>
      <c r="S62" s="200">
        <f>S54-SUM(S55:S61)</f>
        <v>2106</v>
      </c>
      <c r="T62" s="200">
        <f>T54-SUM(T55:T61)</f>
        <v>5986</v>
      </c>
      <c r="U62" s="200">
        <f>U54-SUM(U55:U61)</f>
        <v>6958</v>
      </c>
      <c r="V62" s="200">
        <f>V54-SUM(V55:V61)</f>
        <v>7262</v>
      </c>
      <c r="W62" s="200">
        <f>W54-SUM(W55:W61)</f>
        <v>7142</v>
      </c>
      <c r="X62" s="201">
        <f t="shared" si="39"/>
        <v>-1.6524373450840013E-2</v>
      </c>
      <c r="Y62" s="201">
        <f t="shared" si="40"/>
        <v>2.2822623604702701E-3</v>
      </c>
    </row>
    <row r="63" spans="1:25" x14ac:dyDescent="0.25">
      <c r="A63" s="74"/>
      <c r="B63" s="186" t="s">
        <v>49</v>
      </c>
      <c r="C63" s="184"/>
      <c r="D63" s="184"/>
      <c r="E63" s="184"/>
      <c r="F63" s="184"/>
      <c r="G63" s="184"/>
      <c r="H63" s="184"/>
      <c r="I63" s="184"/>
      <c r="J63" s="184"/>
      <c r="K63" s="184"/>
      <c r="L63" s="184"/>
      <c r="M63" s="184"/>
      <c r="N63" s="184"/>
      <c r="O63" s="184"/>
      <c r="P63" s="184"/>
      <c r="Q63" s="184"/>
      <c r="R63" s="184"/>
      <c r="S63" s="184"/>
      <c r="T63" s="184"/>
      <c r="U63" s="184"/>
      <c r="V63" s="184"/>
      <c r="W63" s="184"/>
      <c r="X63" s="184"/>
      <c r="Y63" s="184"/>
    </row>
    <row r="64" spans="1:25" x14ac:dyDescent="0.25">
      <c r="A64" s="74"/>
      <c r="B64" s="187" t="s">
        <v>70</v>
      </c>
      <c r="C64" s="209">
        <f t="shared" ref="C64:H64" si="44">C65+C68</f>
        <v>1940</v>
      </c>
      <c r="D64" s="209">
        <f t="shared" si="44"/>
        <v>0</v>
      </c>
      <c r="E64" s="209">
        <f t="shared" si="44"/>
        <v>0</v>
      </c>
      <c r="F64" s="209">
        <f t="shared" si="44"/>
        <v>0</v>
      </c>
      <c r="G64" s="209">
        <f t="shared" si="44"/>
        <v>0</v>
      </c>
      <c r="H64" s="209">
        <f t="shared" si="44"/>
        <v>0</v>
      </c>
      <c r="I64" s="210" t="str">
        <f>IFERROR(H64/G64-1,"-")</f>
        <v>-</v>
      </c>
      <c r="J64" s="210">
        <f t="shared" ref="J64:J76" si="45">H64/H$8</f>
        <v>0</v>
      </c>
      <c r="K64" s="209">
        <f t="shared" ref="K64:P64" si="46">K65+K68</f>
        <v>27988</v>
      </c>
      <c r="L64" s="209">
        <f t="shared" si="46"/>
        <v>32734</v>
      </c>
      <c r="M64" s="209">
        <f t="shared" si="46"/>
        <v>0</v>
      </c>
      <c r="N64" s="209">
        <f t="shared" si="46"/>
        <v>69914</v>
      </c>
      <c r="O64" s="209">
        <f t="shared" si="46"/>
        <v>0</v>
      </c>
      <c r="P64" s="209">
        <f t="shared" si="46"/>
        <v>0</v>
      </c>
      <c r="Q64" s="210" t="str">
        <f>IFERROR(P64/O64-1,"-")</f>
        <v>-</v>
      </c>
      <c r="R64" s="210">
        <f t="shared" ref="R64:R76" si="47">P64/P$8</f>
        <v>0</v>
      </c>
      <c r="S64" s="209">
        <f>S65+S68</f>
        <v>36134</v>
      </c>
      <c r="T64" s="209">
        <f>T65+T68</f>
        <v>110290</v>
      </c>
      <c r="U64" s="209">
        <f>U65+U68</f>
        <v>131067</v>
      </c>
      <c r="V64" s="209">
        <f>V65+V68</f>
        <v>146251</v>
      </c>
      <c r="W64" s="209">
        <f>W65+W68</f>
        <v>113680</v>
      </c>
      <c r="X64" s="210">
        <f>IFERROR(W64/V64-1,"-")</f>
        <v>-0.22270616953046474</v>
      </c>
      <c r="Y64" s="210">
        <f>W64/W$8</f>
        <v>3.6327021161895866E-2</v>
      </c>
    </row>
    <row r="65" spans="1:25" x14ac:dyDescent="0.25">
      <c r="A65" s="74"/>
      <c r="B65" s="190" t="s">
        <v>99</v>
      </c>
      <c r="C65" s="191">
        <v>97</v>
      </c>
      <c r="D65" s="191">
        <v>0</v>
      </c>
      <c r="E65" s="191">
        <v>0</v>
      </c>
      <c r="F65" s="191">
        <v>0</v>
      </c>
      <c r="G65" s="191">
        <v>0</v>
      </c>
      <c r="H65" s="191">
        <v>0</v>
      </c>
      <c r="I65" s="192" t="str">
        <f>IFERROR(H65/G65-1,"-")</f>
        <v>-</v>
      </c>
      <c r="J65" s="192">
        <f t="shared" si="45"/>
        <v>0</v>
      </c>
      <c r="K65" s="191">
        <v>11254</v>
      </c>
      <c r="L65" s="191">
        <v>19069</v>
      </c>
      <c r="M65" s="191">
        <v>0</v>
      </c>
      <c r="N65" s="191">
        <v>32115</v>
      </c>
      <c r="O65" s="191">
        <v>0</v>
      </c>
      <c r="P65" s="191">
        <v>0</v>
      </c>
      <c r="Q65" s="192" t="str">
        <f>IFERROR(P65/O65-1,"-")</f>
        <v>-</v>
      </c>
      <c r="R65" s="192">
        <f t="shared" si="47"/>
        <v>0</v>
      </c>
      <c r="S65" s="191">
        <v>16811</v>
      </c>
      <c r="T65" s="191">
        <v>28303</v>
      </c>
      <c r="U65" s="191">
        <v>37924</v>
      </c>
      <c r="V65" s="191">
        <v>46749</v>
      </c>
      <c r="W65" s="191">
        <v>32277</v>
      </c>
      <c r="X65" s="192">
        <f>IFERROR(W65/V65-1,"-")</f>
        <v>-0.30956811910415194</v>
      </c>
      <c r="Y65" s="192">
        <f>W65/W$8</f>
        <v>1.0314279222752578E-2</v>
      </c>
    </row>
    <row r="66" spans="1:25" x14ac:dyDescent="0.25">
      <c r="A66" s="74"/>
      <c r="B66" s="194" t="s">
        <v>105</v>
      </c>
      <c r="C66" s="195">
        <v>57</v>
      </c>
      <c r="D66" s="195">
        <v>0</v>
      </c>
      <c r="E66" s="195">
        <v>0</v>
      </c>
      <c r="F66" s="195">
        <v>0</v>
      </c>
      <c r="G66" s="195">
        <v>0</v>
      </c>
      <c r="H66" s="195">
        <v>0</v>
      </c>
      <c r="I66" s="196" t="str">
        <f>IFERROR(H66/G66-1,"-")</f>
        <v>-</v>
      </c>
      <c r="J66" s="196">
        <f t="shared" si="45"/>
        <v>0</v>
      </c>
      <c r="K66" s="195">
        <v>3946</v>
      </c>
      <c r="L66" s="195">
        <v>16643</v>
      </c>
      <c r="M66" s="195">
        <v>0</v>
      </c>
      <c r="N66" s="195">
        <v>23633</v>
      </c>
      <c r="O66" s="195">
        <v>0</v>
      </c>
      <c r="P66" s="195">
        <v>0</v>
      </c>
      <c r="Q66" s="196" t="str">
        <f>IFERROR(P66/O66-1,"-")</f>
        <v>-</v>
      </c>
      <c r="R66" s="196">
        <f t="shared" si="47"/>
        <v>0</v>
      </c>
      <c r="S66" s="195">
        <v>5981</v>
      </c>
      <c r="T66" s="195">
        <v>22434</v>
      </c>
      <c r="U66" s="195">
        <v>27984</v>
      </c>
      <c r="V66" s="195">
        <v>28822</v>
      </c>
      <c r="W66" s="195">
        <v>10995</v>
      </c>
      <c r="X66" s="196">
        <f>IFERROR(W66/V66-1,"-")</f>
        <v>-0.6185205745610991</v>
      </c>
      <c r="Y66" s="196">
        <f>W66/W$8</f>
        <v>3.5135080724405794E-3</v>
      </c>
    </row>
    <row r="67" spans="1:25" x14ac:dyDescent="0.25">
      <c r="A67" s="74"/>
      <c r="B67" s="194" t="s">
        <v>102</v>
      </c>
      <c r="C67" s="195">
        <v>40</v>
      </c>
      <c r="D67" s="195">
        <v>0</v>
      </c>
      <c r="E67" s="195">
        <v>0</v>
      </c>
      <c r="F67" s="195">
        <v>0</v>
      </c>
      <c r="G67" s="195">
        <v>0</v>
      </c>
      <c r="H67" s="195">
        <v>0</v>
      </c>
      <c r="I67" s="196" t="str">
        <f>IFERROR(H67/G67-1,"-")</f>
        <v>-</v>
      </c>
      <c r="J67" s="196">
        <f t="shared" si="45"/>
        <v>0</v>
      </c>
      <c r="K67" s="195">
        <v>7308</v>
      </c>
      <c r="L67" s="195">
        <v>2426</v>
      </c>
      <c r="M67" s="195">
        <v>0</v>
      </c>
      <c r="N67" s="195">
        <v>8482</v>
      </c>
      <c r="O67" s="195">
        <v>0</v>
      </c>
      <c r="P67" s="195">
        <v>0</v>
      </c>
      <c r="Q67" s="196" t="str">
        <f>IFERROR(P67/O67-1,"-")</f>
        <v>-</v>
      </c>
      <c r="R67" s="196">
        <f t="shared" si="47"/>
        <v>0</v>
      </c>
      <c r="S67" s="195">
        <v>10830</v>
      </c>
      <c r="T67" s="195">
        <v>5869</v>
      </c>
      <c r="U67" s="195">
        <v>9940</v>
      </c>
      <c r="V67" s="195">
        <v>17927</v>
      </c>
      <c r="W67" s="195">
        <v>21282</v>
      </c>
      <c r="X67" s="196">
        <f>IFERROR(W67/V67-1,"-")</f>
        <v>0.18714787750320738</v>
      </c>
      <c r="Y67" s="196">
        <f>W67/W$8</f>
        <v>6.8007711503119978E-3</v>
      </c>
    </row>
    <row r="68" spans="1:25" x14ac:dyDescent="0.25">
      <c r="A68" s="74"/>
      <c r="B68" s="190" t="s">
        <v>109</v>
      </c>
      <c r="C68" s="191">
        <v>1843</v>
      </c>
      <c r="D68" s="191">
        <v>0</v>
      </c>
      <c r="E68" s="191">
        <v>0</v>
      </c>
      <c r="F68" s="191">
        <v>0</v>
      </c>
      <c r="G68" s="191">
        <v>0</v>
      </c>
      <c r="H68" s="191">
        <v>0</v>
      </c>
      <c r="I68" s="192" t="str">
        <f>IFERROR(H68/G68-1,"-")</f>
        <v>-</v>
      </c>
      <c r="J68" s="192">
        <f t="shared" si="45"/>
        <v>0</v>
      </c>
      <c r="K68" s="191">
        <v>16734</v>
      </c>
      <c r="L68" s="191">
        <v>13665</v>
      </c>
      <c r="M68" s="191">
        <v>0</v>
      </c>
      <c r="N68" s="191">
        <v>37799</v>
      </c>
      <c r="O68" s="191">
        <v>0</v>
      </c>
      <c r="P68" s="191">
        <v>0</v>
      </c>
      <c r="Q68" s="192" t="str">
        <f>IFERROR(P68/O68-1,"-")</f>
        <v>-</v>
      </c>
      <c r="R68" s="192">
        <f t="shared" si="47"/>
        <v>0</v>
      </c>
      <c r="S68" s="191">
        <v>19323</v>
      </c>
      <c r="T68" s="191">
        <v>81987</v>
      </c>
      <c r="U68" s="191">
        <v>93143</v>
      </c>
      <c r="V68" s="191">
        <v>99502</v>
      </c>
      <c r="W68" s="191">
        <v>81403</v>
      </c>
      <c r="X68" s="192">
        <f>IFERROR(W68/V68-1,"-")</f>
        <v>-0.18189584128962233</v>
      </c>
      <c r="Y68" s="192">
        <f>W68/W$8</f>
        <v>2.6012741939143293E-2</v>
      </c>
    </row>
    <row r="69" spans="1:25" s="74" customFormat="1" x14ac:dyDescent="0.25">
      <c r="B69" s="194" t="s">
        <v>112</v>
      </c>
      <c r="C69" s="195">
        <v>217</v>
      </c>
      <c r="D69" s="195">
        <v>0</v>
      </c>
      <c r="E69" s="195">
        <v>0</v>
      </c>
      <c r="F69" s="195">
        <v>0</v>
      </c>
      <c r="G69" s="195">
        <v>0</v>
      </c>
      <c r="H69" s="195">
        <v>0</v>
      </c>
      <c r="I69" s="196" t="str">
        <f t="shared" ref="I69:I76" si="48">IFERROR(H69/G69-1,"-")</f>
        <v>-</v>
      </c>
      <c r="J69" s="196">
        <f t="shared" si="45"/>
        <v>0</v>
      </c>
      <c r="K69" s="195">
        <v>6895</v>
      </c>
      <c r="L69" s="195">
        <v>2176</v>
      </c>
      <c r="M69" s="195">
        <v>0</v>
      </c>
      <c r="N69" s="195">
        <v>15523</v>
      </c>
      <c r="O69" s="195">
        <v>0</v>
      </c>
      <c r="P69" s="195">
        <v>0</v>
      </c>
      <c r="Q69" s="196" t="str">
        <f t="shared" ref="Q69:Q76" si="49">IFERROR(P69/O69-1,"-")</f>
        <v>-</v>
      </c>
      <c r="R69" s="196">
        <f t="shared" si="47"/>
        <v>0</v>
      </c>
      <c r="S69" s="195">
        <v>7331</v>
      </c>
      <c r="T69" s="195">
        <v>38844</v>
      </c>
      <c r="U69" s="195">
        <v>35609</v>
      </c>
      <c r="V69" s="195">
        <v>34444</v>
      </c>
      <c r="W69" s="195">
        <v>35263</v>
      </c>
      <c r="X69" s="196">
        <f t="shared" ref="X69:X76" si="50">IFERROR(W69/V69-1,"-")</f>
        <v>2.3777726164208479E-2</v>
      </c>
      <c r="Y69" s="196">
        <f t="shared" ref="Y69:Y76" si="51">W69/W$8</f>
        <v>1.1268470682898787E-2</v>
      </c>
    </row>
    <row r="70" spans="1:25" s="74" customFormat="1" x14ac:dyDescent="0.25">
      <c r="B70" s="194" t="s">
        <v>115</v>
      </c>
      <c r="C70" s="195">
        <v>271</v>
      </c>
      <c r="D70" s="195">
        <v>0</v>
      </c>
      <c r="E70" s="195">
        <v>0</v>
      </c>
      <c r="F70" s="195">
        <v>0</v>
      </c>
      <c r="G70" s="195">
        <v>0</v>
      </c>
      <c r="H70" s="195">
        <v>0</v>
      </c>
      <c r="I70" s="196" t="str">
        <f t="shared" si="48"/>
        <v>-</v>
      </c>
      <c r="J70" s="196">
        <f t="shared" si="45"/>
        <v>0</v>
      </c>
      <c r="K70" s="195">
        <v>2038</v>
      </c>
      <c r="L70" s="195">
        <v>1757</v>
      </c>
      <c r="M70" s="195">
        <v>0</v>
      </c>
      <c r="N70" s="195">
        <v>3330</v>
      </c>
      <c r="O70" s="195">
        <v>0</v>
      </c>
      <c r="P70" s="195">
        <v>0</v>
      </c>
      <c r="Q70" s="196" t="str">
        <f t="shared" si="49"/>
        <v>-</v>
      </c>
      <c r="R70" s="196">
        <f t="shared" si="47"/>
        <v>0</v>
      </c>
      <c r="S70" s="195">
        <v>2362</v>
      </c>
      <c r="T70" s="195">
        <v>5542</v>
      </c>
      <c r="U70" s="195">
        <v>6459</v>
      </c>
      <c r="V70" s="195">
        <v>6633</v>
      </c>
      <c r="W70" s="195">
        <v>7292</v>
      </c>
      <c r="X70" s="196">
        <f t="shared" si="50"/>
        <v>9.9351726217397962E-2</v>
      </c>
      <c r="Y70" s="196">
        <f t="shared" si="51"/>
        <v>2.3301956220315332E-3</v>
      </c>
    </row>
    <row r="71" spans="1:25" x14ac:dyDescent="0.25">
      <c r="A71" s="74"/>
      <c r="B71" s="194" t="s">
        <v>118</v>
      </c>
      <c r="C71" s="195">
        <v>564</v>
      </c>
      <c r="D71" s="195">
        <v>0</v>
      </c>
      <c r="E71" s="195">
        <v>0</v>
      </c>
      <c r="F71" s="195">
        <v>0</v>
      </c>
      <c r="G71" s="195">
        <v>0</v>
      </c>
      <c r="H71" s="195">
        <v>0</v>
      </c>
      <c r="I71" s="196" t="str">
        <f t="shared" si="48"/>
        <v>-</v>
      </c>
      <c r="J71" s="196">
        <f t="shared" si="45"/>
        <v>0</v>
      </c>
      <c r="K71" s="195">
        <v>1895</v>
      </c>
      <c r="L71" s="195">
        <v>2662</v>
      </c>
      <c r="M71" s="195">
        <v>0</v>
      </c>
      <c r="N71" s="195">
        <v>2991</v>
      </c>
      <c r="O71" s="195">
        <v>0</v>
      </c>
      <c r="P71" s="195">
        <v>0</v>
      </c>
      <c r="Q71" s="196" t="str">
        <f t="shared" si="49"/>
        <v>-</v>
      </c>
      <c r="R71" s="196">
        <f t="shared" si="47"/>
        <v>0</v>
      </c>
      <c r="S71" s="195">
        <v>2592</v>
      </c>
      <c r="T71" s="195">
        <v>11009</v>
      </c>
      <c r="U71" s="195">
        <v>10476</v>
      </c>
      <c r="V71" s="195">
        <v>13838</v>
      </c>
      <c r="W71" s="195">
        <v>7605</v>
      </c>
      <c r="X71" s="196">
        <f t="shared" si="50"/>
        <v>-0.45042636219106802</v>
      </c>
      <c r="Y71" s="196">
        <f t="shared" si="51"/>
        <v>2.4302163611560354E-3</v>
      </c>
    </row>
    <row r="72" spans="1:25" x14ac:dyDescent="0.25">
      <c r="A72" s="74"/>
      <c r="B72" s="194" t="s">
        <v>125</v>
      </c>
      <c r="C72" s="195">
        <v>22</v>
      </c>
      <c r="D72" s="195">
        <v>0</v>
      </c>
      <c r="E72" s="195">
        <v>0</v>
      </c>
      <c r="F72" s="195">
        <v>0</v>
      </c>
      <c r="G72" s="195">
        <v>0</v>
      </c>
      <c r="H72" s="195">
        <v>0</v>
      </c>
      <c r="I72" s="196" t="str">
        <f t="shared" si="48"/>
        <v>-</v>
      </c>
      <c r="J72" s="196">
        <f t="shared" si="45"/>
        <v>0</v>
      </c>
      <c r="K72" s="195">
        <v>228</v>
      </c>
      <c r="L72" s="195">
        <v>658</v>
      </c>
      <c r="M72" s="195">
        <v>0</v>
      </c>
      <c r="N72" s="195">
        <v>1135</v>
      </c>
      <c r="O72" s="195">
        <v>0</v>
      </c>
      <c r="P72" s="195">
        <v>0</v>
      </c>
      <c r="Q72" s="196" t="str">
        <f t="shared" si="49"/>
        <v>-</v>
      </c>
      <c r="R72" s="196">
        <f t="shared" si="47"/>
        <v>0</v>
      </c>
      <c r="S72" s="195">
        <v>258</v>
      </c>
      <c r="T72" s="195">
        <v>1360</v>
      </c>
      <c r="U72" s="195">
        <v>2515</v>
      </c>
      <c r="V72" s="195">
        <v>3267</v>
      </c>
      <c r="W72" s="195">
        <v>1879</v>
      </c>
      <c r="X72" s="196">
        <f t="shared" si="50"/>
        <v>-0.42485460667278852</v>
      </c>
      <c r="Y72" s="196">
        <f t="shared" si="51"/>
        <v>6.0044398982408813E-4</v>
      </c>
    </row>
    <row r="73" spans="1:25" x14ac:dyDescent="0.25">
      <c r="A73" s="74"/>
      <c r="B73" s="194" t="s">
        <v>121</v>
      </c>
      <c r="C73" s="195">
        <v>0</v>
      </c>
      <c r="D73" s="195">
        <v>0</v>
      </c>
      <c r="E73" s="195">
        <v>0</v>
      </c>
      <c r="F73" s="195">
        <v>0</v>
      </c>
      <c r="G73" s="195">
        <v>0</v>
      </c>
      <c r="H73" s="195">
        <v>0</v>
      </c>
      <c r="I73" s="196" t="str">
        <f t="shared" si="48"/>
        <v>-</v>
      </c>
      <c r="J73" s="196">
        <f t="shared" si="45"/>
        <v>0</v>
      </c>
      <c r="K73" s="195">
        <v>591</v>
      </c>
      <c r="L73" s="195">
        <v>763</v>
      </c>
      <c r="M73" s="195">
        <v>0</v>
      </c>
      <c r="N73" s="195">
        <v>981</v>
      </c>
      <c r="O73" s="195">
        <v>0</v>
      </c>
      <c r="P73" s="195">
        <v>0</v>
      </c>
      <c r="Q73" s="196" t="str">
        <f t="shared" si="49"/>
        <v>-</v>
      </c>
      <c r="R73" s="196">
        <f t="shared" si="47"/>
        <v>0</v>
      </c>
      <c r="S73" s="195">
        <v>729</v>
      </c>
      <c r="T73" s="195">
        <v>2196</v>
      </c>
      <c r="U73" s="195">
        <v>1917</v>
      </c>
      <c r="V73" s="195">
        <v>2865</v>
      </c>
      <c r="W73" s="195">
        <v>2069</v>
      </c>
      <c r="X73" s="196">
        <f t="shared" si="50"/>
        <v>-0.27783595113438042</v>
      </c>
      <c r="Y73" s="196">
        <f t="shared" si="51"/>
        <v>6.6115945446835458E-4</v>
      </c>
    </row>
    <row r="74" spans="1:25" x14ac:dyDescent="0.25">
      <c r="A74" s="74"/>
      <c r="B74" s="194" t="s">
        <v>130</v>
      </c>
      <c r="C74" s="195">
        <v>83</v>
      </c>
      <c r="D74" s="195">
        <v>0</v>
      </c>
      <c r="E74" s="195">
        <v>0</v>
      </c>
      <c r="F74" s="195">
        <v>0</v>
      </c>
      <c r="G74" s="195">
        <v>0</v>
      </c>
      <c r="H74" s="195">
        <v>0</v>
      </c>
      <c r="I74" s="196" t="str">
        <f t="shared" si="48"/>
        <v>-</v>
      </c>
      <c r="J74" s="196">
        <f t="shared" si="45"/>
        <v>0</v>
      </c>
      <c r="K74" s="195">
        <v>551</v>
      </c>
      <c r="L74" s="195">
        <v>22</v>
      </c>
      <c r="M74" s="195">
        <v>0</v>
      </c>
      <c r="N74" s="195">
        <v>30</v>
      </c>
      <c r="O74" s="195">
        <v>0</v>
      </c>
      <c r="P74" s="195">
        <v>0</v>
      </c>
      <c r="Q74" s="196" t="str">
        <f t="shared" si="49"/>
        <v>-</v>
      </c>
      <c r="R74" s="196">
        <f t="shared" si="47"/>
        <v>0</v>
      </c>
      <c r="S74" s="195">
        <v>634</v>
      </c>
      <c r="T74" s="195">
        <v>897</v>
      </c>
      <c r="U74" s="195">
        <v>3209</v>
      </c>
      <c r="V74" s="195">
        <v>1645</v>
      </c>
      <c r="W74" s="195">
        <v>844</v>
      </c>
      <c r="X74" s="196">
        <f t="shared" si="50"/>
        <v>-0.48693009118541031</v>
      </c>
      <c r="Y74" s="196">
        <f t="shared" si="51"/>
        <v>2.6970448505137326E-4</v>
      </c>
    </row>
    <row r="75" spans="1:25" x14ac:dyDescent="0.25">
      <c r="A75" s="74"/>
      <c r="B75" s="194" t="s">
        <v>133</v>
      </c>
      <c r="C75" s="195">
        <v>63</v>
      </c>
      <c r="D75" s="195">
        <v>0</v>
      </c>
      <c r="E75" s="195">
        <v>0</v>
      </c>
      <c r="F75" s="195">
        <v>0</v>
      </c>
      <c r="G75" s="195">
        <v>0</v>
      </c>
      <c r="H75" s="195">
        <v>0</v>
      </c>
      <c r="I75" s="196" t="str">
        <f t="shared" si="48"/>
        <v>-</v>
      </c>
      <c r="J75" s="196">
        <f t="shared" si="45"/>
        <v>0</v>
      </c>
      <c r="K75" s="195">
        <v>710</v>
      </c>
      <c r="L75" s="195">
        <v>7</v>
      </c>
      <c r="M75" s="195">
        <v>0</v>
      </c>
      <c r="N75" s="195">
        <v>42</v>
      </c>
      <c r="O75" s="195">
        <v>0</v>
      </c>
      <c r="P75" s="195">
        <v>0</v>
      </c>
      <c r="Q75" s="196" t="str">
        <f t="shared" si="49"/>
        <v>-</v>
      </c>
      <c r="R75" s="196">
        <f t="shared" si="47"/>
        <v>0</v>
      </c>
      <c r="S75" s="195">
        <v>781</v>
      </c>
      <c r="T75" s="195">
        <v>291</v>
      </c>
      <c r="U75" s="195">
        <v>930</v>
      </c>
      <c r="V75" s="195">
        <v>205</v>
      </c>
      <c r="W75" s="195">
        <v>552</v>
      </c>
      <c r="X75" s="196">
        <f t="shared" si="50"/>
        <v>1.6926829268292685</v>
      </c>
      <c r="Y75" s="196">
        <f t="shared" si="51"/>
        <v>1.7639440254544792E-4</v>
      </c>
    </row>
    <row r="76" spans="1:25" x14ac:dyDescent="0.25">
      <c r="A76" s="74"/>
      <c r="B76" s="199" t="s">
        <v>147</v>
      </c>
      <c r="C76" s="200">
        <f t="shared" ref="C76" si="52">C68-SUM(C69:C75)</f>
        <v>623</v>
      </c>
      <c r="D76" s="200">
        <f t="shared" ref="D76:H76" si="53">D68-SUM(D69:D75)</f>
        <v>0</v>
      </c>
      <c r="E76" s="200">
        <f t="shared" si="53"/>
        <v>0</v>
      </c>
      <c r="F76" s="200">
        <f t="shared" si="53"/>
        <v>0</v>
      </c>
      <c r="G76" s="200">
        <f t="shared" si="53"/>
        <v>0</v>
      </c>
      <c r="H76" s="200">
        <f t="shared" si="53"/>
        <v>0</v>
      </c>
      <c r="I76" s="201" t="str">
        <f t="shared" si="48"/>
        <v>-</v>
      </c>
      <c r="J76" s="201">
        <f t="shared" si="45"/>
        <v>0</v>
      </c>
      <c r="K76" s="200">
        <f t="shared" ref="K76:P76" si="54">K68-SUM(K69:K75)</f>
        <v>3826</v>
      </c>
      <c r="L76" s="200">
        <f t="shared" si="54"/>
        <v>5620</v>
      </c>
      <c r="M76" s="200">
        <f t="shared" si="54"/>
        <v>0</v>
      </c>
      <c r="N76" s="200">
        <f t="shared" si="54"/>
        <v>13767</v>
      </c>
      <c r="O76" s="200">
        <f t="shared" si="54"/>
        <v>0</v>
      </c>
      <c r="P76" s="200">
        <f t="shared" si="54"/>
        <v>0</v>
      </c>
      <c r="Q76" s="201" t="str">
        <f t="shared" si="49"/>
        <v>-</v>
      </c>
      <c r="R76" s="201">
        <f t="shared" si="47"/>
        <v>0</v>
      </c>
      <c r="S76" s="200">
        <f>S68-SUM(S69:S75)</f>
        <v>4636</v>
      </c>
      <c r="T76" s="200">
        <f>T68-SUM(T69:T75)</f>
        <v>21848</v>
      </c>
      <c r="U76" s="200">
        <f>U68-SUM(U69:U75)</f>
        <v>32028</v>
      </c>
      <c r="V76" s="200">
        <f>V68-SUM(V69:V75)</f>
        <v>36605</v>
      </c>
      <c r="W76" s="200">
        <f>W68-SUM(W69:W75)</f>
        <v>25899</v>
      </c>
      <c r="X76" s="201">
        <f t="shared" si="50"/>
        <v>-0.29247370577789922</v>
      </c>
      <c r="Y76" s="201">
        <f t="shared" si="51"/>
        <v>8.2761569411676731E-3</v>
      </c>
    </row>
    <row r="77" spans="1:25" x14ac:dyDescent="0.25">
      <c r="A77" s="74"/>
      <c r="B77" s="186" t="s">
        <v>50</v>
      </c>
      <c r="C77" s="184"/>
      <c r="D77" s="184"/>
      <c r="E77" s="184"/>
      <c r="F77" s="184"/>
      <c r="G77" s="184"/>
      <c r="H77" s="184"/>
      <c r="I77" s="184"/>
      <c r="J77" s="184"/>
      <c r="K77" s="184"/>
      <c r="L77" s="184"/>
      <c r="M77" s="184"/>
      <c r="N77" s="184"/>
      <c r="O77" s="184"/>
      <c r="P77" s="184"/>
      <c r="Q77" s="184"/>
      <c r="R77" s="184"/>
      <c r="S77" s="184"/>
      <c r="T77" s="184"/>
      <c r="U77" s="184"/>
      <c r="V77" s="184"/>
      <c r="W77" s="184"/>
      <c r="X77" s="184"/>
      <c r="Y77" s="184"/>
    </row>
    <row r="78" spans="1:25" x14ac:dyDescent="0.25">
      <c r="A78" s="74"/>
      <c r="B78" s="187" t="s">
        <v>70</v>
      </c>
      <c r="C78" s="209">
        <f t="shared" ref="C78:H78" si="55">C79+C82</f>
        <v>27254</v>
      </c>
      <c r="D78" s="209">
        <f t="shared" si="55"/>
        <v>43215</v>
      </c>
      <c r="E78" s="209">
        <f t="shared" si="55"/>
        <v>75459</v>
      </c>
      <c r="F78" s="209">
        <f t="shared" si="55"/>
        <v>77593</v>
      </c>
      <c r="G78" s="209">
        <f t="shared" si="55"/>
        <v>87151</v>
      </c>
      <c r="H78" s="209">
        <f t="shared" si="55"/>
        <v>96549</v>
      </c>
      <c r="I78" s="210">
        <f>IFERROR(H78/G78-1,"-")</f>
        <v>0.10783582517699175</v>
      </c>
      <c r="J78" s="210">
        <f t="shared" ref="J78:J90" si="56">H78/H$8</f>
        <v>0.17141776655694396</v>
      </c>
      <c r="K78" s="209">
        <f t="shared" ref="K78:P78" si="57">K79+K82</f>
        <v>120222</v>
      </c>
      <c r="L78" s="209">
        <f t="shared" si="57"/>
        <v>124348</v>
      </c>
      <c r="M78" s="209">
        <f t="shared" si="57"/>
        <v>348211</v>
      </c>
      <c r="N78" s="209">
        <f t="shared" si="57"/>
        <v>409555</v>
      </c>
      <c r="O78" s="209">
        <f t="shared" si="57"/>
        <v>470041</v>
      </c>
      <c r="P78" s="209">
        <f t="shared" si="57"/>
        <v>467536</v>
      </c>
      <c r="Q78" s="210">
        <f>IFERROR(P78/O78-1,"-")</f>
        <v>-5.3293223357111508E-3</v>
      </c>
      <c r="R78" s="210">
        <f t="shared" ref="R78:R90" si="58">P78/P$8</f>
        <v>0.18219618543688451</v>
      </c>
      <c r="S78" s="209">
        <f>S79+S82</f>
        <v>147476</v>
      </c>
      <c r="T78" s="209">
        <f>T79+T82</f>
        <v>423670</v>
      </c>
      <c r="U78" s="209">
        <f>U79+U82</f>
        <v>487148</v>
      </c>
      <c r="V78" s="209">
        <f>V79+V82</f>
        <v>557192</v>
      </c>
      <c r="W78" s="209">
        <f>W79+W82</f>
        <v>564085</v>
      </c>
      <c r="X78" s="210">
        <f>IFERROR(W78/V78-1,"-")</f>
        <v>1.2370960099929551E-2</v>
      </c>
      <c r="Y78" s="210">
        <f>W78/W$8</f>
        <v>0.18025622565190036</v>
      </c>
    </row>
    <row r="79" spans="1:25" x14ac:dyDescent="0.25">
      <c r="A79" s="74"/>
      <c r="B79" s="190" t="s">
        <v>99</v>
      </c>
      <c r="C79" s="191">
        <v>10700</v>
      </c>
      <c r="D79" s="191">
        <v>26508</v>
      </c>
      <c r="E79" s="191">
        <v>39701</v>
      </c>
      <c r="F79" s="191">
        <v>39900</v>
      </c>
      <c r="G79" s="191">
        <v>43179</v>
      </c>
      <c r="H79" s="191">
        <v>51554</v>
      </c>
      <c r="I79" s="192">
        <f>IFERROR(H79/G79-1,"-")</f>
        <v>0.19396002686491109</v>
      </c>
      <c r="J79" s="192">
        <f t="shared" si="56"/>
        <v>9.1531466271806944E-2</v>
      </c>
      <c r="K79" s="191">
        <v>52662</v>
      </c>
      <c r="L79" s="191">
        <v>75017</v>
      </c>
      <c r="M79" s="191">
        <v>177815</v>
      </c>
      <c r="N79" s="191">
        <v>185055</v>
      </c>
      <c r="O79" s="191">
        <v>194018</v>
      </c>
      <c r="P79" s="191">
        <v>194282</v>
      </c>
      <c r="Q79" s="192">
        <f>IFERROR(P79/O79-1,"-")</f>
        <v>1.3606984918925757E-3</v>
      </c>
      <c r="R79" s="192">
        <f t="shared" si="58"/>
        <v>7.5710617576077124E-2</v>
      </c>
      <c r="S79" s="191">
        <v>63362</v>
      </c>
      <c r="T79" s="191">
        <v>217516</v>
      </c>
      <c r="U79" s="191">
        <v>224955</v>
      </c>
      <c r="V79" s="191">
        <v>237197</v>
      </c>
      <c r="W79" s="191">
        <v>245836</v>
      </c>
      <c r="X79" s="192">
        <f>IFERROR(W79/V79-1,"-")</f>
        <v>3.6421202629038252E-2</v>
      </c>
      <c r="Y79" s="192">
        <f>W79/W$8</f>
        <v>7.8558141927831046E-2</v>
      </c>
    </row>
    <row r="80" spans="1:25" x14ac:dyDescent="0.25">
      <c r="A80" s="74"/>
      <c r="B80" s="194" t="s">
        <v>105</v>
      </c>
      <c r="C80" s="195">
        <v>4497</v>
      </c>
      <c r="D80" s="195">
        <v>16691</v>
      </c>
      <c r="E80" s="195">
        <v>24487</v>
      </c>
      <c r="F80" s="195">
        <v>25295</v>
      </c>
      <c r="G80" s="195">
        <v>22887</v>
      </c>
      <c r="H80" s="195">
        <v>25798</v>
      </c>
      <c r="I80" s="196">
        <f>IFERROR(H80/G80-1,"-")</f>
        <v>0.12719010792152741</v>
      </c>
      <c r="J80" s="196">
        <f t="shared" si="56"/>
        <v>4.5803017552082777E-2</v>
      </c>
      <c r="K80" s="195">
        <v>8348</v>
      </c>
      <c r="L80" s="195">
        <v>16350</v>
      </c>
      <c r="M80" s="195">
        <v>27645</v>
      </c>
      <c r="N80" s="195">
        <v>23534</v>
      </c>
      <c r="O80" s="195">
        <v>35427</v>
      </c>
      <c r="P80" s="195">
        <v>30105</v>
      </c>
      <c r="Q80" s="196">
        <f>IFERROR(P80/O80-1,"-")</f>
        <v>-0.150224405114743</v>
      </c>
      <c r="R80" s="196">
        <f t="shared" si="58"/>
        <v>1.1731751485612675E-2</v>
      </c>
      <c r="S80" s="195">
        <v>12845</v>
      </c>
      <c r="T80" s="195">
        <v>52132</v>
      </c>
      <c r="U80" s="195">
        <v>48829</v>
      </c>
      <c r="V80" s="195">
        <v>58314</v>
      </c>
      <c r="W80" s="195">
        <v>55903</v>
      </c>
      <c r="X80" s="196">
        <f>IFERROR(W80/V80-1,"-")</f>
        <v>-4.1345131529306856E-2</v>
      </c>
      <c r="Y80" s="196">
        <f>W80/W$8</f>
        <v>1.7864087473728578E-2</v>
      </c>
    </row>
    <row r="81" spans="1:25" x14ac:dyDescent="0.25">
      <c r="A81" s="74"/>
      <c r="B81" s="194" t="s">
        <v>102</v>
      </c>
      <c r="C81" s="195">
        <v>6203</v>
      </c>
      <c r="D81" s="195">
        <v>9817</v>
      </c>
      <c r="E81" s="195">
        <v>15214</v>
      </c>
      <c r="F81" s="195">
        <v>14605</v>
      </c>
      <c r="G81" s="195">
        <v>20292</v>
      </c>
      <c r="H81" s="195">
        <v>25756</v>
      </c>
      <c r="I81" s="196">
        <f>IFERROR(H81/G81-1,"-")</f>
        <v>0.26926867731125559</v>
      </c>
      <c r="J81" s="196">
        <f t="shared" si="56"/>
        <v>4.5728448719724167E-2</v>
      </c>
      <c r="K81" s="195">
        <v>44314</v>
      </c>
      <c r="L81" s="195">
        <v>58667</v>
      </c>
      <c r="M81" s="195">
        <v>150170</v>
      </c>
      <c r="N81" s="195">
        <v>161521</v>
      </c>
      <c r="O81" s="195">
        <v>158591</v>
      </c>
      <c r="P81" s="195">
        <v>164177</v>
      </c>
      <c r="Q81" s="196">
        <f>IFERROR(P81/O81-1,"-")</f>
        <v>3.5222679723313499E-2</v>
      </c>
      <c r="R81" s="196">
        <f t="shared" si="58"/>
        <v>6.3978866090464451E-2</v>
      </c>
      <c r="S81" s="195">
        <v>50517</v>
      </c>
      <c r="T81" s="195">
        <v>165384</v>
      </c>
      <c r="U81" s="195">
        <v>176126</v>
      </c>
      <c r="V81" s="195">
        <v>178883</v>
      </c>
      <c r="W81" s="195">
        <v>189933</v>
      </c>
      <c r="X81" s="196">
        <f>IFERROR(W81/V81-1,"-")</f>
        <v>6.1772219830839248E-2</v>
      </c>
      <c r="Y81" s="196">
        <f>W81/W$8</f>
        <v>6.0694054454102461E-2</v>
      </c>
    </row>
    <row r="82" spans="1:25" x14ac:dyDescent="0.25">
      <c r="A82" s="74"/>
      <c r="B82" s="190" t="s">
        <v>109</v>
      </c>
      <c r="C82" s="191">
        <v>16554</v>
      </c>
      <c r="D82" s="191">
        <v>16707</v>
      </c>
      <c r="E82" s="191">
        <v>35758</v>
      </c>
      <c r="F82" s="191">
        <v>37693</v>
      </c>
      <c r="G82" s="191">
        <v>43972</v>
      </c>
      <c r="H82" s="191">
        <v>44995</v>
      </c>
      <c r="I82" s="192">
        <f>IFERROR(H82/G82-1,"-")</f>
        <v>2.3264804875830158E-2</v>
      </c>
      <c r="J82" s="192">
        <f t="shared" si="56"/>
        <v>7.9886300285137005E-2</v>
      </c>
      <c r="K82" s="191">
        <v>67560</v>
      </c>
      <c r="L82" s="191">
        <v>49331</v>
      </c>
      <c r="M82" s="191">
        <v>170396</v>
      </c>
      <c r="N82" s="191">
        <v>224500</v>
      </c>
      <c r="O82" s="191">
        <v>276023</v>
      </c>
      <c r="P82" s="191">
        <v>273254</v>
      </c>
      <c r="Q82" s="192">
        <f>IFERROR(P82/O82-1,"-")</f>
        <v>-1.0031772714592657E-2</v>
      </c>
      <c r="R82" s="192">
        <f t="shared" si="58"/>
        <v>0.10648556786080737</v>
      </c>
      <c r="S82" s="191">
        <v>84114</v>
      </c>
      <c r="T82" s="191">
        <v>206154</v>
      </c>
      <c r="U82" s="191">
        <v>262193</v>
      </c>
      <c r="V82" s="191">
        <v>319995</v>
      </c>
      <c r="W82" s="191">
        <v>318249</v>
      </c>
      <c r="X82" s="192">
        <f>IFERROR(W82/V82-1,"-")</f>
        <v>-5.4563352552383648E-3</v>
      </c>
      <c r="Y82" s="192">
        <f>W82/W$8</f>
        <v>0.1016980837240693</v>
      </c>
    </row>
    <row r="83" spans="1:25" s="74" customFormat="1" x14ac:dyDescent="0.25">
      <c r="B83" s="194" t="s">
        <v>112</v>
      </c>
      <c r="C83" s="195">
        <v>2224</v>
      </c>
      <c r="D83" s="195">
        <v>1949</v>
      </c>
      <c r="E83" s="195">
        <v>4027</v>
      </c>
      <c r="F83" s="195">
        <v>5120</v>
      </c>
      <c r="G83" s="195">
        <v>6588</v>
      </c>
      <c r="H83" s="195">
        <v>6802</v>
      </c>
      <c r="I83" s="196">
        <f t="shared" ref="I83:I90" si="59">IFERROR(H83/G83-1,"-")</f>
        <v>3.2483302975106154E-2</v>
      </c>
      <c r="J83" s="196">
        <f t="shared" si="56"/>
        <v>1.207659994531619E-2</v>
      </c>
      <c r="K83" s="195">
        <v>13920</v>
      </c>
      <c r="L83" s="195">
        <v>3523</v>
      </c>
      <c r="M83" s="195">
        <v>40046</v>
      </c>
      <c r="N83" s="195">
        <v>52990</v>
      </c>
      <c r="O83" s="195">
        <v>64151</v>
      </c>
      <c r="P83" s="195">
        <v>69032</v>
      </c>
      <c r="Q83" s="196">
        <f t="shared" ref="Q83:Q90" si="60">IFERROR(P83/O83-1,"-")</f>
        <v>7.6086109335785856E-2</v>
      </c>
      <c r="R83" s="196">
        <f t="shared" si="58"/>
        <v>2.6901387429158419E-2</v>
      </c>
      <c r="S83" s="195">
        <v>16144</v>
      </c>
      <c r="T83" s="195">
        <v>44073</v>
      </c>
      <c r="U83" s="195">
        <v>58110</v>
      </c>
      <c r="V83" s="195">
        <v>70739</v>
      </c>
      <c r="W83" s="195">
        <v>75834</v>
      </c>
      <c r="X83" s="196">
        <f t="shared" ref="X83:X90" si="61">IFERROR(W83/V83-1,"-")</f>
        <v>7.2025332560539557E-2</v>
      </c>
      <c r="Y83" s="196">
        <f t="shared" ref="Y83:Y90" si="62">W83/W$8</f>
        <v>2.4233139714912134E-2</v>
      </c>
    </row>
    <row r="84" spans="1:25" s="74" customFormat="1" x14ac:dyDescent="0.25">
      <c r="B84" s="194" t="s">
        <v>115</v>
      </c>
      <c r="C84" s="195">
        <v>4799</v>
      </c>
      <c r="D84" s="195">
        <v>3436</v>
      </c>
      <c r="E84" s="195">
        <v>8884</v>
      </c>
      <c r="F84" s="195">
        <v>10047</v>
      </c>
      <c r="G84" s="195">
        <v>10506</v>
      </c>
      <c r="H84" s="195">
        <v>9815</v>
      </c>
      <c r="I84" s="196">
        <f t="shared" si="59"/>
        <v>-6.577193984389873E-2</v>
      </c>
      <c r="J84" s="196">
        <f t="shared" si="56"/>
        <v>1.7426025942851867E-2</v>
      </c>
      <c r="K84" s="195">
        <v>25360</v>
      </c>
      <c r="L84" s="195">
        <v>13631</v>
      </c>
      <c r="M84" s="195">
        <v>57389</v>
      </c>
      <c r="N84" s="195">
        <v>67461</v>
      </c>
      <c r="O84" s="195">
        <v>75520</v>
      </c>
      <c r="P84" s="195">
        <v>74276</v>
      </c>
      <c r="Q84" s="196">
        <f t="shared" si="60"/>
        <v>-1.6472457627118686E-2</v>
      </c>
      <c r="R84" s="196">
        <f t="shared" si="58"/>
        <v>2.8944945136866539E-2</v>
      </c>
      <c r="S84" s="195">
        <v>30159</v>
      </c>
      <c r="T84" s="195">
        <v>66273</v>
      </c>
      <c r="U84" s="195">
        <v>77508</v>
      </c>
      <c r="V84" s="195">
        <v>86026</v>
      </c>
      <c r="W84" s="195">
        <v>84091</v>
      </c>
      <c r="X84" s="196">
        <f t="shared" si="61"/>
        <v>-2.2493199730314051E-2</v>
      </c>
      <c r="Y84" s="196">
        <f t="shared" si="62"/>
        <v>2.6871705986321125E-2</v>
      </c>
    </row>
    <row r="85" spans="1:25" x14ac:dyDescent="0.25">
      <c r="A85" s="74"/>
      <c r="B85" s="194" t="s">
        <v>118</v>
      </c>
      <c r="C85" s="195">
        <v>1395</v>
      </c>
      <c r="D85" s="195">
        <v>3495</v>
      </c>
      <c r="E85" s="195">
        <v>4488</v>
      </c>
      <c r="F85" s="195">
        <v>4114</v>
      </c>
      <c r="G85" s="195">
        <v>4421</v>
      </c>
      <c r="H85" s="195">
        <v>4583</v>
      </c>
      <c r="I85" s="196">
        <f t="shared" si="59"/>
        <v>3.6643293372540242E-2</v>
      </c>
      <c r="J85" s="196">
        <f t="shared" si="56"/>
        <v>8.1368799690361808E-3</v>
      </c>
      <c r="K85" s="195">
        <v>4325</v>
      </c>
      <c r="L85" s="195">
        <v>6321</v>
      </c>
      <c r="M85" s="195">
        <v>14433</v>
      </c>
      <c r="N85" s="195">
        <v>22774</v>
      </c>
      <c r="O85" s="195">
        <v>35467</v>
      </c>
      <c r="P85" s="195">
        <v>31359</v>
      </c>
      <c r="Q85" s="196">
        <f t="shared" si="60"/>
        <v>-0.11582597907914405</v>
      </c>
      <c r="R85" s="196">
        <f t="shared" si="58"/>
        <v>1.2220428328760269E-2</v>
      </c>
      <c r="S85" s="195">
        <v>5720</v>
      </c>
      <c r="T85" s="195">
        <v>18921</v>
      </c>
      <c r="U85" s="195">
        <v>26888</v>
      </c>
      <c r="V85" s="195">
        <v>39888</v>
      </c>
      <c r="W85" s="195">
        <v>35942</v>
      </c>
      <c r="X85" s="196">
        <f t="shared" si="61"/>
        <v>-9.8926995587645394E-2</v>
      </c>
      <c r="Y85" s="196">
        <f t="shared" si="62"/>
        <v>1.148544858023277E-2</v>
      </c>
    </row>
    <row r="86" spans="1:25" x14ac:dyDescent="0.25">
      <c r="A86" s="74"/>
      <c r="B86" s="194" t="s">
        <v>125</v>
      </c>
      <c r="C86" s="195">
        <v>246</v>
      </c>
      <c r="D86" s="195">
        <v>345</v>
      </c>
      <c r="E86" s="195">
        <v>845</v>
      </c>
      <c r="F86" s="195">
        <v>806</v>
      </c>
      <c r="G86" s="195">
        <v>1051</v>
      </c>
      <c r="H86" s="195">
        <v>1093</v>
      </c>
      <c r="I86" s="196">
        <f t="shared" si="59"/>
        <v>3.9961941008563207E-2</v>
      </c>
      <c r="J86" s="196">
        <f t="shared" si="56"/>
        <v>1.9405650897134071E-3</v>
      </c>
      <c r="K86" s="195">
        <v>1093</v>
      </c>
      <c r="L86" s="195">
        <v>1428</v>
      </c>
      <c r="M86" s="195">
        <v>3122</v>
      </c>
      <c r="N86" s="195">
        <v>4296</v>
      </c>
      <c r="O86" s="195">
        <v>8016</v>
      </c>
      <c r="P86" s="195">
        <v>8258</v>
      </c>
      <c r="Q86" s="196">
        <f t="shared" si="60"/>
        <v>3.0189620758483082E-2</v>
      </c>
      <c r="R86" s="196">
        <f t="shared" si="58"/>
        <v>3.2180967868523326E-3</v>
      </c>
      <c r="S86" s="195">
        <v>1339</v>
      </c>
      <c r="T86" s="195">
        <v>3967</v>
      </c>
      <c r="U86" s="195">
        <v>5102</v>
      </c>
      <c r="V86" s="195">
        <v>9067</v>
      </c>
      <c r="W86" s="195">
        <v>9351</v>
      </c>
      <c r="X86" s="196">
        <f t="shared" si="61"/>
        <v>3.1322377853755468E-2</v>
      </c>
      <c r="Y86" s="196">
        <f t="shared" si="62"/>
        <v>2.9881595257291367E-3</v>
      </c>
    </row>
    <row r="87" spans="1:25" x14ac:dyDescent="0.25">
      <c r="A87" s="74"/>
      <c r="B87" s="194" t="s">
        <v>121</v>
      </c>
      <c r="C87" s="195">
        <v>188</v>
      </c>
      <c r="D87" s="195">
        <v>331</v>
      </c>
      <c r="E87" s="195">
        <v>685</v>
      </c>
      <c r="F87" s="195">
        <v>543</v>
      </c>
      <c r="G87" s="195">
        <v>562</v>
      </c>
      <c r="H87" s="195">
        <v>612</v>
      </c>
      <c r="I87" s="196">
        <f t="shared" si="59"/>
        <v>8.8967971530249157E-2</v>
      </c>
      <c r="J87" s="196">
        <f t="shared" si="56"/>
        <v>1.0865744143683488E-3</v>
      </c>
      <c r="K87" s="195">
        <v>1411</v>
      </c>
      <c r="L87" s="195">
        <v>1899</v>
      </c>
      <c r="M87" s="195">
        <v>2962</v>
      </c>
      <c r="N87" s="195">
        <v>4028</v>
      </c>
      <c r="O87" s="195">
        <v>5211</v>
      </c>
      <c r="P87" s="195">
        <v>5426</v>
      </c>
      <c r="Q87" s="196">
        <f t="shared" si="60"/>
        <v>4.1258875455766564E-2</v>
      </c>
      <c r="R87" s="196">
        <f t="shared" si="58"/>
        <v>2.1144820980214044E-3</v>
      </c>
      <c r="S87" s="195">
        <v>1599</v>
      </c>
      <c r="T87" s="195">
        <v>3647</v>
      </c>
      <c r="U87" s="195">
        <v>4571</v>
      </c>
      <c r="V87" s="195">
        <v>5773</v>
      </c>
      <c r="W87" s="195">
        <v>6038</v>
      </c>
      <c r="X87" s="196">
        <f t="shared" si="61"/>
        <v>4.5903343149142461E-2</v>
      </c>
      <c r="Y87" s="196">
        <f t="shared" si="62"/>
        <v>1.9294735553793741E-3</v>
      </c>
    </row>
    <row r="88" spans="1:25" x14ac:dyDescent="0.25">
      <c r="A88" s="74"/>
      <c r="B88" s="194" t="s">
        <v>130</v>
      </c>
      <c r="C88" s="195">
        <v>282</v>
      </c>
      <c r="D88" s="195">
        <v>120</v>
      </c>
      <c r="E88" s="195">
        <v>282</v>
      </c>
      <c r="F88" s="195">
        <v>306</v>
      </c>
      <c r="G88" s="195">
        <v>351</v>
      </c>
      <c r="H88" s="195">
        <v>360</v>
      </c>
      <c r="I88" s="196">
        <f t="shared" si="59"/>
        <v>2.564102564102555E-2</v>
      </c>
      <c r="J88" s="196">
        <f t="shared" si="56"/>
        <v>6.3916142021667576E-4</v>
      </c>
      <c r="K88" s="195">
        <v>1415</v>
      </c>
      <c r="L88" s="195">
        <v>87</v>
      </c>
      <c r="M88" s="195">
        <v>1710</v>
      </c>
      <c r="N88" s="195">
        <v>2258</v>
      </c>
      <c r="O88" s="195">
        <v>2196</v>
      </c>
      <c r="P88" s="195">
        <v>2253</v>
      </c>
      <c r="Q88" s="196">
        <f t="shared" si="60"/>
        <v>2.5956284153005438E-2</v>
      </c>
      <c r="R88" s="196">
        <f t="shared" si="58"/>
        <v>8.7798160096613049E-4</v>
      </c>
      <c r="S88" s="195">
        <v>1697</v>
      </c>
      <c r="T88" s="195">
        <v>1992</v>
      </c>
      <c r="U88" s="195">
        <v>2564</v>
      </c>
      <c r="V88" s="195">
        <v>2547</v>
      </c>
      <c r="W88" s="195">
        <v>2613</v>
      </c>
      <c r="X88" s="196">
        <f t="shared" si="61"/>
        <v>2.5912838633686652E-2</v>
      </c>
      <c r="Y88" s="196">
        <f t="shared" si="62"/>
        <v>8.3499741639720185E-4</v>
      </c>
    </row>
    <row r="89" spans="1:25" x14ac:dyDescent="0.25">
      <c r="A89" s="74"/>
      <c r="B89" s="194" t="s">
        <v>133</v>
      </c>
      <c r="C89" s="195">
        <v>389</v>
      </c>
      <c r="D89" s="195">
        <v>139</v>
      </c>
      <c r="E89" s="195">
        <v>417</v>
      </c>
      <c r="F89" s="195">
        <v>408</v>
      </c>
      <c r="G89" s="195">
        <v>387</v>
      </c>
      <c r="H89" s="195">
        <v>466</v>
      </c>
      <c r="I89" s="196">
        <f t="shared" si="59"/>
        <v>0.20413436692506459</v>
      </c>
      <c r="J89" s="196">
        <f t="shared" si="56"/>
        <v>8.2735894950269689E-4</v>
      </c>
      <c r="K89" s="195">
        <v>1895</v>
      </c>
      <c r="L89" s="195">
        <v>147</v>
      </c>
      <c r="M89" s="195">
        <v>1354</v>
      </c>
      <c r="N89" s="195">
        <v>2179</v>
      </c>
      <c r="O89" s="195">
        <v>2731</v>
      </c>
      <c r="P89" s="195">
        <v>1712</v>
      </c>
      <c r="Q89" s="196">
        <f t="shared" si="60"/>
        <v>-0.37312339802270234</v>
      </c>
      <c r="R89" s="196">
        <f t="shared" si="58"/>
        <v>6.6715690228762333E-4</v>
      </c>
      <c r="S89" s="195">
        <v>2284</v>
      </c>
      <c r="T89" s="195">
        <v>1771</v>
      </c>
      <c r="U89" s="195">
        <v>2587</v>
      </c>
      <c r="V89" s="195">
        <v>3118</v>
      </c>
      <c r="W89" s="195">
        <v>2178</v>
      </c>
      <c r="X89" s="196">
        <f t="shared" si="61"/>
        <v>-0.30147530468248873</v>
      </c>
      <c r="Y89" s="196">
        <f t="shared" si="62"/>
        <v>6.9599095786953907E-4</v>
      </c>
    </row>
    <row r="90" spans="1:25" x14ac:dyDescent="0.25">
      <c r="A90" s="74"/>
      <c r="B90" s="199" t="s">
        <v>147</v>
      </c>
      <c r="C90" s="200">
        <f t="shared" ref="C90" si="63">C82-SUM(C83:C89)</f>
        <v>7031</v>
      </c>
      <c r="D90" s="200">
        <f t="shared" ref="D90:H90" si="64">D82-SUM(D83:D89)</f>
        <v>6892</v>
      </c>
      <c r="E90" s="200">
        <f t="shared" si="64"/>
        <v>16130</v>
      </c>
      <c r="F90" s="200">
        <f t="shared" si="64"/>
        <v>16349</v>
      </c>
      <c r="G90" s="200">
        <f t="shared" si="64"/>
        <v>20106</v>
      </c>
      <c r="H90" s="200">
        <f t="shared" si="64"/>
        <v>21264</v>
      </c>
      <c r="I90" s="201">
        <f t="shared" si="59"/>
        <v>5.7594747836466675E-2</v>
      </c>
      <c r="J90" s="201">
        <f t="shared" si="56"/>
        <v>3.7753134554131644E-2</v>
      </c>
      <c r="K90" s="200">
        <f t="shared" ref="K90:P90" si="65">K82-SUM(K83:K89)</f>
        <v>18141</v>
      </c>
      <c r="L90" s="200">
        <f t="shared" si="65"/>
        <v>22295</v>
      </c>
      <c r="M90" s="200">
        <f t="shared" si="65"/>
        <v>49380</v>
      </c>
      <c r="N90" s="200">
        <f t="shared" si="65"/>
        <v>68514</v>
      </c>
      <c r="O90" s="200">
        <f t="shared" si="65"/>
        <v>82731</v>
      </c>
      <c r="P90" s="200">
        <f t="shared" si="65"/>
        <v>80938</v>
      </c>
      <c r="Q90" s="201">
        <f t="shared" si="60"/>
        <v>-2.1672649913575315E-2</v>
      </c>
      <c r="R90" s="201">
        <f t="shared" si="58"/>
        <v>3.1541089577894657E-2</v>
      </c>
      <c r="S90" s="200">
        <f>S82-SUM(S83:S89)</f>
        <v>25172</v>
      </c>
      <c r="T90" s="200">
        <f>T82-SUM(T83:T89)</f>
        <v>65510</v>
      </c>
      <c r="U90" s="200">
        <f>U82-SUM(U83:U89)</f>
        <v>84863</v>
      </c>
      <c r="V90" s="200">
        <f>V82-SUM(V83:V89)</f>
        <v>102837</v>
      </c>
      <c r="W90" s="200">
        <f>W82-SUM(W83:W89)</f>
        <v>102202</v>
      </c>
      <c r="X90" s="201">
        <f t="shared" si="61"/>
        <v>-6.1748203467623108E-3</v>
      </c>
      <c r="Y90" s="201">
        <f t="shared" si="62"/>
        <v>3.2659167987228024E-2</v>
      </c>
    </row>
    <row r="91" spans="1:25" x14ac:dyDescent="0.25">
      <c r="A91" s="74"/>
      <c r="B91" s="186" t="s">
        <v>51</v>
      </c>
      <c r="C91" s="184"/>
      <c r="D91" s="184"/>
      <c r="E91" s="184"/>
      <c r="F91" s="184"/>
      <c r="G91" s="184"/>
      <c r="H91" s="184"/>
      <c r="I91" s="184"/>
      <c r="J91" s="184"/>
      <c r="K91" s="184"/>
      <c r="L91" s="184"/>
      <c r="M91" s="184"/>
      <c r="N91" s="184"/>
      <c r="O91" s="184"/>
      <c r="P91" s="184"/>
      <c r="Q91" s="184"/>
      <c r="R91" s="184"/>
      <c r="S91" s="184"/>
      <c r="T91" s="184"/>
      <c r="U91" s="184"/>
      <c r="V91" s="184"/>
      <c r="W91" s="184"/>
      <c r="X91" s="184"/>
      <c r="Y91" s="184"/>
    </row>
    <row r="92" spans="1:25" x14ac:dyDescent="0.25">
      <c r="A92" s="74"/>
      <c r="B92" s="187" t="s">
        <v>70</v>
      </c>
      <c r="C92" s="209">
        <f t="shared" ref="C92:H92" si="66">C93+C96</f>
        <v>4061</v>
      </c>
      <c r="D92" s="209">
        <f t="shared" si="66"/>
        <v>0</v>
      </c>
      <c r="E92" s="209">
        <f t="shared" si="66"/>
        <v>2892</v>
      </c>
      <c r="F92" s="209">
        <f t="shared" si="66"/>
        <v>4491</v>
      </c>
      <c r="G92" s="209">
        <f t="shared" si="66"/>
        <v>5405</v>
      </c>
      <c r="H92" s="209">
        <f t="shared" si="66"/>
        <v>5933</v>
      </c>
      <c r="I92" s="210">
        <f>IFERROR(H92/G92-1,"-")</f>
        <v>9.7687326549491305E-2</v>
      </c>
      <c r="J92" s="210">
        <f t="shared" ref="J92:J104" si="67">H92/H$8</f>
        <v>1.0533735294848714E-2</v>
      </c>
      <c r="K92" s="209">
        <f t="shared" ref="K92:P92" si="68">K93+K96</f>
        <v>8693</v>
      </c>
      <c r="L92" s="209">
        <f t="shared" si="68"/>
        <v>0</v>
      </c>
      <c r="M92" s="209">
        <f t="shared" si="68"/>
        <v>22120</v>
      </c>
      <c r="N92" s="209">
        <f t="shared" si="68"/>
        <v>30713</v>
      </c>
      <c r="O92" s="209">
        <f t="shared" si="68"/>
        <v>36372</v>
      </c>
      <c r="P92" s="209">
        <f t="shared" si="68"/>
        <v>34480</v>
      </c>
      <c r="Q92" s="210">
        <f>IFERROR(P92/O92-1,"-")</f>
        <v>-5.201803585175413E-2</v>
      </c>
      <c r="R92" s="210">
        <f t="shared" ref="R92:R104" si="69">P92/P$8</f>
        <v>1.3436664714297461E-2</v>
      </c>
      <c r="S92" s="209">
        <f>S93+S96</f>
        <v>17295</v>
      </c>
      <c r="T92" s="209">
        <f>T93+T96</f>
        <v>37456</v>
      </c>
      <c r="U92" s="209">
        <f>U93+U96</f>
        <v>44189</v>
      </c>
      <c r="V92" s="209">
        <f>V93+V96</f>
        <v>41777</v>
      </c>
      <c r="W92" s="209">
        <f>W93+W96</f>
        <v>40413</v>
      </c>
      <c r="X92" s="210">
        <f>IFERROR(W92/V92-1,"-")</f>
        <v>-3.2649544007468223E-2</v>
      </c>
      <c r="Y92" s="210">
        <f>W92/W$8</f>
        <v>1.2914179329835483E-2</v>
      </c>
    </row>
    <row r="93" spans="1:25" x14ac:dyDescent="0.25">
      <c r="A93" s="74"/>
      <c r="B93" s="190" t="s">
        <v>99</v>
      </c>
      <c r="C93" s="191">
        <v>2731</v>
      </c>
      <c r="D93" s="191">
        <v>0</v>
      </c>
      <c r="E93" s="191">
        <v>2345</v>
      </c>
      <c r="F93" s="191">
        <v>3131</v>
      </c>
      <c r="G93" s="191">
        <v>3940</v>
      </c>
      <c r="H93" s="191">
        <v>4315</v>
      </c>
      <c r="I93" s="192">
        <f>IFERROR(H93/G93-1,"-")</f>
        <v>9.5177664974619214E-2</v>
      </c>
      <c r="J93" s="192">
        <f t="shared" si="67"/>
        <v>7.6610598006526549E-3</v>
      </c>
      <c r="K93" s="191">
        <v>4723</v>
      </c>
      <c r="L93" s="191">
        <v>0</v>
      </c>
      <c r="M93" s="191">
        <v>15738</v>
      </c>
      <c r="N93" s="191">
        <v>20171</v>
      </c>
      <c r="O93" s="191">
        <v>22213</v>
      </c>
      <c r="P93" s="191">
        <v>20950</v>
      </c>
      <c r="Q93" s="192">
        <f>IFERROR(P93/O93-1,"-")</f>
        <v>-5.6858596317471699E-2</v>
      </c>
      <c r="R93" s="192">
        <f t="shared" si="69"/>
        <v>8.1640987750734289E-3</v>
      </c>
      <c r="S93" s="191">
        <v>11031</v>
      </c>
      <c r="T93" s="191">
        <v>24786</v>
      </c>
      <c r="U93" s="191">
        <v>29860</v>
      </c>
      <c r="V93" s="191">
        <v>26153</v>
      </c>
      <c r="W93" s="191">
        <v>25265</v>
      </c>
      <c r="X93" s="192">
        <f>IFERROR(W93/V93-1,"-")</f>
        <v>-3.3954039689519377E-2</v>
      </c>
      <c r="Y93" s="192">
        <f>W93/W$8</f>
        <v>8.0735590223020692E-3</v>
      </c>
    </row>
    <row r="94" spans="1:25" x14ac:dyDescent="0.25">
      <c r="A94" s="74"/>
      <c r="B94" s="194" t="s">
        <v>105</v>
      </c>
      <c r="C94" s="195">
        <v>2063</v>
      </c>
      <c r="D94" s="195">
        <v>0</v>
      </c>
      <c r="E94" s="195">
        <v>1741</v>
      </c>
      <c r="F94" s="195">
        <v>2207</v>
      </c>
      <c r="G94" s="195">
        <v>2841</v>
      </c>
      <c r="H94" s="195">
        <v>3138</v>
      </c>
      <c r="I94" s="196">
        <f>IFERROR(H94/G94-1,"-")</f>
        <v>0.10454065469904972</v>
      </c>
      <c r="J94" s="196">
        <f t="shared" si="67"/>
        <v>5.5713570462220235E-3</v>
      </c>
      <c r="K94" s="195">
        <v>2176</v>
      </c>
      <c r="L94" s="195">
        <v>0</v>
      </c>
      <c r="M94" s="195">
        <v>6916</v>
      </c>
      <c r="N94" s="195">
        <v>4680</v>
      </c>
      <c r="O94" s="195">
        <v>5361</v>
      </c>
      <c r="P94" s="195">
        <v>5751</v>
      </c>
      <c r="Q94" s="196">
        <f>IFERROR(P94/O94-1,"-")</f>
        <v>7.2747621712367039E-2</v>
      </c>
      <c r="R94" s="196">
        <f t="shared" si="69"/>
        <v>2.2411327950094171E-3</v>
      </c>
      <c r="S94" s="195">
        <v>5930</v>
      </c>
      <c r="T94" s="195">
        <v>11891</v>
      </c>
      <c r="U94" s="195">
        <v>9535</v>
      </c>
      <c r="V94" s="195">
        <v>8202</v>
      </c>
      <c r="W94" s="195">
        <v>8889</v>
      </c>
      <c r="X94" s="196">
        <f>IFERROR(W94/V94-1,"-")</f>
        <v>8.376005852231172E-2</v>
      </c>
      <c r="Y94" s="196">
        <f>W94/W$8</f>
        <v>2.8405250801204467E-3</v>
      </c>
    </row>
    <row r="95" spans="1:25" x14ac:dyDescent="0.25">
      <c r="A95" s="74"/>
      <c r="B95" s="194" t="s">
        <v>102</v>
      </c>
      <c r="C95" s="195">
        <v>668</v>
      </c>
      <c r="D95" s="195">
        <v>0</v>
      </c>
      <c r="E95" s="195">
        <v>604</v>
      </c>
      <c r="F95" s="195">
        <v>924</v>
      </c>
      <c r="G95" s="195">
        <v>1099</v>
      </c>
      <c r="H95" s="195">
        <v>1177</v>
      </c>
      <c r="I95" s="196">
        <f>IFERROR(H95/G95-1,"-")</f>
        <v>7.0973612374886308E-2</v>
      </c>
      <c r="J95" s="196">
        <f t="shared" si="67"/>
        <v>2.0897027544306314E-3</v>
      </c>
      <c r="K95" s="195">
        <v>2547</v>
      </c>
      <c r="L95" s="195">
        <v>0</v>
      </c>
      <c r="M95" s="195">
        <v>8822</v>
      </c>
      <c r="N95" s="195">
        <v>15491</v>
      </c>
      <c r="O95" s="195">
        <v>16852</v>
      </c>
      <c r="P95" s="195">
        <v>15199</v>
      </c>
      <c r="Q95" s="196">
        <f>IFERROR(P95/O95-1,"-")</f>
        <v>-9.8089247567054394E-2</v>
      </c>
      <c r="R95" s="196">
        <f t="shared" si="69"/>
        <v>5.9229659800640114E-3</v>
      </c>
      <c r="S95" s="195">
        <v>5101</v>
      </c>
      <c r="T95" s="195">
        <v>12895</v>
      </c>
      <c r="U95" s="195">
        <v>20325</v>
      </c>
      <c r="V95" s="195">
        <v>17951</v>
      </c>
      <c r="W95" s="195">
        <v>16376</v>
      </c>
      <c r="X95" s="196">
        <f>IFERROR(W95/V95-1,"-")</f>
        <v>-8.7738844632610946E-2</v>
      </c>
      <c r="Y95" s="196">
        <f>W95/W$8</f>
        <v>5.2330339421816216E-3</v>
      </c>
    </row>
    <row r="96" spans="1:25" x14ac:dyDescent="0.25">
      <c r="A96" s="74"/>
      <c r="B96" s="190" t="s">
        <v>109</v>
      </c>
      <c r="C96" s="191">
        <v>1330</v>
      </c>
      <c r="D96" s="191">
        <v>0</v>
      </c>
      <c r="E96" s="191">
        <v>547</v>
      </c>
      <c r="F96" s="191">
        <v>1360</v>
      </c>
      <c r="G96" s="191">
        <v>1465</v>
      </c>
      <c r="H96" s="191">
        <v>1618</v>
      </c>
      <c r="I96" s="192">
        <f>IFERROR(H96/G96-1,"-")</f>
        <v>0.10443686006825947</v>
      </c>
      <c r="J96" s="192">
        <f t="shared" si="67"/>
        <v>2.8726754941960594E-3</v>
      </c>
      <c r="K96" s="191">
        <v>3970</v>
      </c>
      <c r="L96" s="191">
        <v>0</v>
      </c>
      <c r="M96" s="191">
        <v>6382</v>
      </c>
      <c r="N96" s="191">
        <v>10542</v>
      </c>
      <c r="O96" s="191">
        <v>14159</v>
      </c>
      <c r="P96" s="191">
        <v>13530</v>
      </c>
      <c r="Q96" s="192">
        <f>IFERROR(P96/O96-1,"-")</f>
        <v>-4.4424041245850643E-2</v>
      </c>
      <c r="R96" s="192">
        <f t="shared" si="69"/>
        <v>5.2725659392240326E-3</v>
      </c>
      <c r="S96" s="191">
        <v>6264</v>
      </c>
      <c r="T96" s="191">
        <v>12670</v>
      </c>
      <c r="U96" s="191">
        <v>14329</v>
      </c>
      <c r="V96" s="191">
        <v>15624</v>
      </c>
      <c r="W96" s="191">
        <v>15148</v>
      </c>
      <c r="X96" s="192">
        <f>IFERROR(W96/V96-1,"-")</f>
        <v>-3.046594982078854E-2</v>
      </c>
      <c r="Y96" s="192">
        <f>W96/W$8</f>
        <v>4.8406203075334149E-3</v>
      </c>
    </row>
    <row r="97" spans="1:25" s="74" customFormat="1" x14ac:dyDescent="0.25">
      <c r="B97" s="194" t="s">
        <v>112</v>
      </c>
      <c r="C97" s="195">
        <v>79</v>
      </c>
      <c r="D97" s="195">
        <v>0</v>
      </c>
      <c r="E97" s="195">
        <v>11</v>
      </c>
      <c r="F97" s="195">
        <v>68</v>
      </c>
      <c r="G97" s="195">
        <v>133</v>
      </c>
      <c r="H97" s="195">
        <v>84</v>
      </c>
      <c r="I97" s="196">
        <f t="shared" ref="I97:I104" si="70">IFERROR(H97/G97-1,"-")</f>
        <v>-0.36842105263157898</v>
      </c>
      <c r="J97" s="196">
        <f t="shared" si="67"/>
        <v>1.4913766471722433E-4</v>
      </c>
      <c r="K97" s="195">
        <v>915</v>
      </c>
      <c r="L97" s="195">
        <v>0</v>
      </c>
      <c r="M97" s="195">
        <v>735</v>
      </c>
      <c r="N97" s="195">
        <v>1637</v>
      </c>
      <c r="O97" s="195">
        <v>2113</v>
      </c>
      <c r="P97" s="195">
        <v>1794</v>
      </c>
      <c r="Q97" s="196">
        <f t="shared" ref="Q97:Q104" si="71">IFERROR(P97/O97-1,"-")</f>
        <v>-0.15097018457169897</v>
      </c>
      <c r="R97" s="196">
        <f t="shared" si="69"/>
        <v>6.9911184737382961E-4</v>
      </c>
      <c r="S97" s="195">
        <v>1042</v>
      </c>
      <c r="T97" s="195">
        <v>1661</v>
      </c>
      <c r="U97" s="195">
        <v>2018</v>
      </c>
      <c r="V97" s="195">
        <v>2246</v>
      </c>
      <c r="W97" s="195">
        <v>1878</v>
      </c>
      <c r="X97" s="196">
        <f t="shared" ref="X97:X104" si="72">IFERROR(W97/V97-1,"-")</f>
        <v>-0.16384683882457707</v>
      </c>
      <c r="Y97" s="196">
        <f t="shared" ref="Y97:Y104" si="73">W97/W$8</f>
        <v>6.0012443474701308E-4</v>
      </c>
    </row>
    <row r="98" spans="1:25" s="74" customFormat="1" x14ac:dyDescent="0.25">
      <c r="B98" s="194" t="s">
        <v>115</v>
      </c>
      <c r="C98" s="195">
        <v>299</v>
      </c>
      <c r="D98" s="195">
        <v>0</v>
      </c>
      <c r="E98" s="195">
        <v>73</v>
      </c>
      <c r="F98" s="195">
        <v>177</v>
      </c>
      <c r="G98" s="195">
        <v>258</v>
      </c>
      <c r="H98" s="195">
        <v>228</v>
      </c>
      <c r="I98" s="196">
        <f t="shared" si="70"/>
        <v>-0.11627906976744184</v>
      </c>
      <c r="J98" s="196">
        <f t="shared" si="67"/>
        <v>4.048022328038946E-4</v>
      </c>
      <c r="K98" s="195">
        <v>772</v>
      </c>
      <c r="L98" s="195">
        <v>0</v>
      </c>
      <c r="M98" s="195">
        <v>1193</v>
      </c>
      <c r="N98" s="195">
        <v>2069</v>
      </c>
      <c r="O98" s="195">
        <v>2752</v>
      </c>
      <c r="P98" s="195">
        <v>2443</v>
      </c>
      <c r="Q98" s="196">
        <f t="shared" si="71"/>
        <v>-0.11228197674418605</v>
      </c>
      <c r="R98" s="196">
        <f t="shared" si="69"/>
        <v>9.5202354689758405E-4</v>
      </c>
      <c r="S98" s="195">
        <v>1199</v>
      </c>
      <c r="T98" s="195">
        <v>2396</v>
      </c>
      <c r="U98" s="195">
        <v>2589</v>
      </c>
      <c r="V98" s="195">
        <v>3010</v>
      </c>
      <c r="W98" s="195">
        <v>2671</v>
      </c>
      <c r="X98" s="196">
        <f t="shared" si="72"/>
        <v>-0.11262458471760795</v>
      </c>
      <c r="Y98" s="196">
        <f t="shared" si="73"/>
        <v>8.5353161086755688E-4</v>
      </c>
    </row>
    <row r="99" spans="1:25" x14ac:dyDescent="0.25">
      <c r="A99" s="74"/>
      <c r="B99" s="194" t="s">
        <v>118</v>
      </c>
      <c r="C99" s="195">
        <v>539</v>
      </c>
      <c r="D99" s="195">
        <v>0</v>
      </c>
      <c r="E99" s="195">
        <v>177</v>
      </c>
      <c r="F99" s="195">
        <v>566</v>
      </c>
      <c r="G99" s="195">
        <v>412</v>
      </c>
      <c r="H99" s="195">
        <v>530</v>
      </c>
      <c r="I99" s="196">
        <f t="shared" si="70"/>
        <v>0.28640776699029136</v>
      </c>
      <c r="J99" s="196">
        <f t="shared" si="67"/>
        <v>9.4098764643010596E-4</v>
      </c>
      <c r="K99" s="195">
        <v>622</v>
      </c>
      <c r="L99" s="195">
        <v>0</v>
      </c>
      <c r="M99" s="195">
        <v>1270</v>
      </c>
      <c r="N99" s="195">
        <v>1759</v>
      </c>
      <c r="O99" s="195">
        <v>2340</v>
      </c>
      <c r="P99" s="195">
        <v>2197</v>
      </c>
      <c r="Q99" s="196">
        <f t="shared" si="71"/>
        <v>-6.1111111111111116E-2</v>
      </c>
      <c r="R99" s="196">
        <f t="shared" si="69"/>
        <v>8.5615871163896519E-4</v>
      </c>
      <c r="S99" s="195">
        <v>1494</v>
      </c>
      <c r="T99" s="195">
        <v>2543</v>
      </c>
      <c r="U99" s="195">
        <v>2839</v>
      </c>
      <c r="V99" s="195">
        <v>2752</v>
      </c>
      <c r="W99" s="195">
        <v>2727</v>
      </c>
      <c r="X99" s="196">
        <f t="shared" si="72"/>
        <v>-9.0843023255814392E-3</v>
      </c>
      <c r="Y99" s="196">
        <f t="shared" si="73"/>
        <v>8.714266951837617E-4</v>
      </c>
    </row>
    <row r="100" spans="1:25" x14ac:dyDescent="0.25">
      <c r="A100" s="74"/>
      <c r="B100" s="194" t="s">
        <v>125</v>
      </c>
      <c r="C100" s="195">
        <v>55</v>
      </c>
      <c r="D100" s="195">
        <v>0</v>
      </c>
      <c r="E100" s="195">
        <v>15</v>
      </c>
      <c r="F100" s="195">
        <v>17</v>
      </c>
      <c r="G100" s="195">
        <v>60</v>
      </c>
      <c r="H100" s="195">
        <v>46</v>
      </c>
      <c r="I100" s="196">
        <f t="shared" si="70"/>
        <v>-0.23333333333333328</v>
      </c>
      <c r="J100" s="196">
        <f t="shared" si="67"/>
        <v>8.1670625916575225E-5</v>
      </c>
      <c r="K100" s="195">
        <v>210</v>
      </c>
      <c r="L100" s="195">
        <v>0</v>
      </c>
      <c r="M100" s="195">
        <v>469</v>
      </c>
      <c r="N100" s="195">
        <v>545</v>
      </c>
      <c r="O100" s="195">
        <v>641</v>
      </c>
      <c r="P100" s="195">
        <v>621</v>
      </c>
      <c r="Q100" s="196">
        <f t="shared" si="71"/>
        <v>-3.120124804992197E-2</v>
      </c>
      <c r="R100" s="196">
        <f t="shared" si="69"/>
        <v>2.4200025486017179E-4</v>
      </c>
      <c r="S100" s="195">
        <v>280</v>
      </c>
      <c r="T100" s="195">
        <v>886</v>
      </c>
      <c r="U100" s="195">
        <v>646</v>
      </c>
      <c r="V100" s="195">
        <v>701</v>
      </c>
      <c r="W100" s="195">
        <v>667</v>
      </c>
      <c r="X100" s="196">
        <f t="shared" si="72"/>
        <v>-4.8502139800285282E-2</v>
      </c>
      <c r="Y100" s="196">
        <f t="shared" si="73"/>
        <v>2.131432364090829E-4</v>
      </c>
    </row>
    <row r="101" spans="1:25" x14ac:dyDescent="0.25">
      <c r="A101" s="74"/>
      <c r="B101" s="194" t="s">
        <v>121</v>
      </c>
      <c r="C101" s="195">
        <v>30</v>
      </c>
      <c r="D101" s="195">
        <v>0</v>
      </c>
      <c r="E101" s="195">
        <v>5</v>
      </c>
      <c r="F101" s="195">
        <v>61</v>
      </c>
      <c r="G101" s="195">
        <v>30</v>
      </c>
      <c r="H101" s="195">
        <v>49</v>
      </c>
      <c r="I101" s="196">
        <f t="shared" si="70"/>
        <v>0.6333333333333333</v>
      </c>
      <c r="J101" s="196">
        <f t="shared" si="67"/>
        <v>8.699697108504753E-5</v>
      </c>
      <c r="K101" s="195">
        <v>102</v>
      </c>
      <c r="L101" s="195">
        <v>0</v>
      </c>
      <c r="M101" s="195">
        <v>268</v>
      </c>
      <c r="N101" s="195">
        <v>273</v>
      </c>
      <c r="O101" s="195">
        <v>609</v>
      </c>
      <c r="P101" s="195">
        <v>555</v>
      </c>
      <c r="Q101" s="196">
        <f t="shared" si="71"/>
        <v>-8.8669950738916259E-2</v>
      </c>
      <c r="R101" s="196">
        <f t="shared" si="69"/>
        <v>2.1628042101029846E-4</v>
      </c>
      <c r="S101" s="195">
        <v>217</v>
      </c>
      <c r="T101" s="195">
        <v>523</v>
      </c>
      <c r="U101" s="195">
        <v>426</v>
      </c>
      <c r="V101" s="195">
        <v>639</v>
      </c>
      <c r="W101" s="195">
        <v>604</v>
      </c>
      <c r="X101" s="196">
        <f t="shared" si="72"/>
        <v>-5.477308294209704E-2</v>
      </c>
      <c r="Y101" s="196">
        <f t="shared" si="73"/>
        <v>1.9301126655335243E-4</v>
      </c>
    </row>
    <row r="102" spans="1:25" x14ac:dyDescent="0.25">
      <c r="A102" s="74"/>
      <c r="B102" s="194" t="s">
        <v>130</v>
      </c>
      <c r="C102" s="195">
        <v>22</v>
      </c>
      <c r="D102" s="195">
        <v>0</v>
      </c>
      <c r="E102" s="195">
        <v>0</v>
      </c>
      <c r="F102" s="195">
        <v>9</v>
      </c>
      <c r="G102" s="195">
        <v>16</v>
      </c>
      <c r="H102" s="195">
        <v>12</v>
      </c>
      <c r="I102" s="196">
        <f t="shared" si="70"/>
        <v>-0.25</v>
      </c>
      <c r="J102" s="196">
        <f t="shared" si="67"/>
        <v>2.130538067388919E-5</v>
      </c>
      <c r="K102" s="195">
        <v>90</v>
      </c>
      <c r="L102" s="195">
        <v>0</v>
      </c>
      <c r="M102" s="195">
        <v>63</v>
      </c>
      <c r="N102" s="195">
        <v>82</v>
      </c>
      <c r="O102" s="195">
        <v>162</v>
      </c>
      <c r="P102" s="195">
        <v>145</v>
      </c>
      <c r="Q102" s="196">
        <f t="shared" si="71"/>
        <v>-0.10493827160493829</v>
      </c>
      <c r="R102" s="196">
        <f t="shared" si="69"/>
        <v>5.6505695579267167E-5</v>
      </c>
      <c r="S102" s="195">
        <v>114</v>
      </c>
      <c r="T102" s="195">
        <v>222</v>
      </c>
      <c r="U102" s="195">
        <v>106</v>
      </c>
      <c r="V102" s="195">
        <v>178</v>
      </c>
      <c r="W102" s="195">
        <v>157</v>
      </c>
      <c r="X102" s="196">
        <f t="shared" si="72"/>
        <v>-0.1179775280898876</v>
      </c>
      <c r="Y102" s="196">
        <f t="shared" si="73"/>
        <v>5.0170147100788631E-5</v>
      </c>
    </row>
    <row r="103" spans="1:25" x14ac:dyDescent="0.25">
      <c r="A103" s="74"/>
      <c r="B103" s="194" t="s">
        <v>133</v>
      </c>
      <c r="C103" s="195">
        <v>0</v>
      </c>
      <c r="D103" s="195">
        <v>0</v>
      </c>
      <c r="E103" s="195">
        <v>0</v>
      </c>
      <c r="F103" s="195">
        <v>0</v>
      </c>
      <c r="G103" s="195">
        <v>14</v>
      </c>
      <c r="H103" s="195">
        <v>8</v>
      </c>
      <c r="I103" s="196">
        <f t="shared" si="70"/>
        <v>-0.4285714285714286</v>
      </c>
      <c r="J103" s="196">
        <f t="shared" si="67"/>
        <v>1.4203587115926127E-5</v>
      </c>
      <c r="K103" s="195">
        <v>61</v>
      </c>
      <c r="L103" s="195">
        <v>0</v>
      </c>
      <c r="M103" s="195">
        <v>45</v>
      </c>
      <c r="N103" s="195">
        <v>167</v>
      </c>
      <c r="O103" s="195">
        <v>268</v>
      </c>
      <c r="P103" s="195">
        <v>151</v>
      </c>
      <c r="Q103" s="196">
        <f t="shared" si="71"/>
        <v>-0.43656716417910446</v>
      </c>
      <c r="R103" s="196">
        <f t="shared" si="69"/>
        <v>5.884386229289201E-5</v>
      </c>
      <c r="S103" s="195">
        <v>66</v>
      </c>
      <c r="T103" s="195">
        <v>114</v>
      </c>
      <c r="U103" s="195">
        <v>190</v>
      </c>
      <c r="V103" s="195">
        <v>282</v>
      </c>
      <c r="W103" s="195">
        <v>159</v>
      </c>
      <c r="X103" s="196">
        <f t="shared" si="72"/>
        <v>-0.43617021276595747</v>
      </c>
      <c r="Y103" s="196">
        <f t="shared" si="73"/>
        <v>5.0809257254938801E-5</v>
      </c>
    </row>
    <row r="104" spans="1:25" x14ac:dyDescent="0.25">
      <c r="A104" s="74"/>
      <c r="B104" s="199" t="s">
        <v>147</v>
      </c>
      <c r="C104" s="200">
        <f t="shared" ref="C104" si="74">C96-SUM(C97:C103)</f>
        <v>306</v>
      </c>
      <c r="D104" s="200">
        <f t="shared" ref="D104:H104" si="75">D96-SUM(D97:D103)</f>
        <v>0</v>
      </c>
      <c r="E104" s="200">
        <f t="shared" si="75"/>
        <v>266</v>
      </c>
      <c r="F104" s="200">
        <f t="shared" si="75"/>
        <v>462</v>
      </c>
      <c r="G104" s="200">
        <f t="shared" si="75"/>
        <v>542</v>
      </c>
      <c r="H104" s="200">
        <f t="shared" si="75"/>
        <v>661</v>
      </c>
      <c r="I104" s="201">
        <f t="shared" si="70"/>
        <v>0.21955719557195574</v>
      </c>
      <c r="J104" s="201">
        <f t="shared" si="67"/>
        <v>1.1735713854533962E-3</v>
      </c>
      <c r="K104" s="200">
        <f t="shared" ref="K104:P104" si="76">K96-SUM(K97:K103)</f>
        <v>1198</v>
      </c>
      <c r="L104" s="200">
        <f t="shared" si="76"/>
        <v>0</v>
      </c>
      <c r="M104" s="200">
        <f t="shared" si="76"/>
        <v>2339</v>
      </c>
      <c r="N104" s="200">
        <f t="shared" si="76"/>
        <v>4010</v>
      </c>
      <c r="O104" s="200">
        <f t="shared" si="76"/>
        <v>5274</v>
      </c>
      <c r="P104" s="200">
        <f t="shared" si="76"/>
        <v>5624</v>
      </c>
      <c r="Q104" s="201">
        <f t="shared" si="71"/>
        <v>6.6363291619264242E-2</v>
      </c>
      <c r="R104" s="201">
        <f t="shared" si="69"/>
        <v>2.1916415995710242E-3</v>
      </c>
      <c r="S104" s="200">
        <f>S96-SUM(S97:S103)</f>
        <v>1852</v>
      </c>
      <c r="T104" s="200">
        <f>T96-SUM(T97:T103)</f>
        <v>4325</v>
      </c>
      <c r="U104" s="200">
        <f>U96-SUM(U97:U103)</f>
        <v>5515</v>
      </c>
      <c r="V104" s="200">
        <f>V96-SUM(V97:V103)</f>
        <v>5816</v>
      </c>
      <c r="W104" s="200">
        <f>W96-SUM(W97:W103)</f>
        <v>6285</v>
      </c>
      <c r="X104" s="201">
        <f t="shared" si="72"/>
        <v>8.0639614855570807E-2</v>
      </c>
      <c r="Y104" s="201">
        <f t="shared" si="73"/>
        <v>2.0084036594169206E-3</v>
      </c>
    </row>
    <row r="105" spans="1:25" x14ac:dyDescent="0.25">
      <c r="A105" s="74"/>
      <c r="B105" s="186" t="s">
        <v>52</v>
      </c>
      <c r="C105" s="184"/>
      <c r="D105" s="184"/>
      <c r="E105" s="184"/>
      <c r="F105" s="184"/>
      <c r="G105" s="184"/>
      <c r="H105" s="184"/>
      <c r="I105" s="184"/>
      <c r="J105" s="184"/>
      <c r="K105" s="184"/>
      <c r="L105" s="184"/>
      <c r="M105" s="184"/>
      <c r="N105" s="184"/>
      <c r="O105" s="184"/>
      <c r="P105" s="184"/>
      <c r="Q105" s="184"/>
      <c r="R105" s="184"/>
      <c r="S105" s="184"/>
      <c r="T105" s="184"/>
      <c r="U105" s="184"/>
      <c r="V105" s="184"/>
      <c r="W105" s="184"/>
      <c r="X105" s="184"/>
      <c r="Y105" s="184"/>
    </row>
    <row r="106" spans="1:25" x14ac:dyDescent="0.25">
      <c r="A106" s="74"/>
      <c r="B106" s="187" t="s">
        <v>70</v>
      </c>
      <c r="C106" s="209">
        <f t="shared" ref="C106:H106" si="77">C107+C110</f>
        <v>0</v>
      </c>
      <c r="D106" s="209">
        <f t="shared" si="77"/>
        <v>0</v>
      </c>
      <c r="E106" s="209">
        <f t="shared" si="77"/>
        <v>0</v>
      </c>
      <c r="F106" s="209">
        <f t="shared" si="77"/>
        <v>0</v>
      </c>
      <c r="G106" s="209">
        <f t="shared" si="77"/>
        <v>0</v>
      </c>
      <c r="H106" s="209">
        <f t="shared" si="77"/>
        <v>0</v>
      </c>
      <c r="I106" s="210" t="str">
        <f>IFERROR(H106/G106-1,"-")</f>
        <v>-</v>
      </c>
      <c r="J106" s="210">
        <f t="shared" ref="J106:J118" si="78">H106/H$8</f>
        <v>0</v>
      </c>
      <c r="K106" s="209">
        <f t="shared" ref="K106:P106" si="79">K107+K110</f>
        <v>22627</v>
      </c>
      <c r="L106" s="209">
        <f t="shared" si="79"/>
        <v>0</v>
      </c>
      <c r="M106" s="209">
        <f t="shared" si="79"/>
        <v>0</v>
      </c>
      <c r="N106" s="209">
        <f t="shared" si="79"/>
        <v>0</v>
      </c>
      <c r="O106" s="209">
        <f t="shared" si="79"/>
        <v>0</v>
      </c>
      <c r="P106" s="209">
        <f t="shared" si="79"/>
        <v>0</v>
      </c>
      <c r="Q106" s="210" t="str">
        <f>IFERROR(P106/O106-1,"-")</f>
        <v>-</v>
      </c>
      <c r="R106" s="210">
        <f t="shared" ref="R106:R118" si="80">P106/P$8</f>
        <v>0</v>
      </c>
      <c r="S106" s="209">
        <f>S107+S110</f>
        <v>45963</v>
      </c>
      <c r="T106" s="209">
        <f>T107+T110</f>
        <v>124607</v>
      </c>
      <c r="U106" s="209">
        <f>U107+U110</f>
        <v>163429</v>
      </c>
      <c r="V106" s="209">
        <f>V107+V110</f>
        <v>157299</v>
      </c>
      <c r="W106" s="209">
        <f>W107+W110</f>
        <v>166857</v>
      </c>
      <c r="X106" s="210">
        <f>IFERROR(W106/V106-1,"-")</f>
        <v>6.0763259779146761E-2</v>
      </c>
      <c r="Y106" s="210">
        <f>W106/W$8</f>
        <v>5.3320001495517758E-2</v>
      </c>
    </row>
    <row r="107" spans="1:25" x14ac:dyDescent="0.25">
      <c r="A107" s="74"/>
      <c r="B107" s="190" t="s">
        <v>99</v>
      </c>
      <c r="C107" s="191">
        <v>0</v>
      </c>
      <c r="D107" s="191">
        <v>0</v>
      </c>
      <c r="E107" s="191">
        <v>0</v>
      </c>
      <c r="F107" s="191">
        <v>0</v>
      </c>
      <c r="G107" s="191">
        <v>0</v>
      </c>
      <c r="H107" s="191">
        <v>0</v>
      </c>
      <c r="I107" s="192" t="str">
        <f>IFERROR(H107/G107-1,"-")</f>
        <v>-</v>
      </c>
      <c r="J107" s="192">
        <f t="shared" si="78"/>
        <v>0</v>
      </c>
      <c r="K107" s="191">
        <v>5441</v>
      </c>
      <c r="L107" s="191">
        <v>0</v>
      </c>
      <c r="M107" s="191">
        <v>0</v>
      </c>
      <c r="N107" s="191">
        <v>0</v>
      </c>
      <c r="O107" s="191">
        <v>0</v>
      </c>
      <c r="P107" s="191">
        <v>0</v>
      </c>
      <c r="Q107" s="192" t="str">
        <f>IFERROR(P107/O107-1,"-")</f>
        <v>-</v>
      </c>
      <c r="R107" s="192">
        <f t="shared" si="80"/>
        <v>0</v>
      </c>
      <c r="S107" s="191">
        <v>22313</v>
      </c>
      <c r="T107" s="191">
        <v>31290</v>
      </c>
      <c r="U107" s="191">
        <v>37406</v>
      </c>
      <c r="V107" s="191">
        <v>35367</v>
      </c>
      <c r="W107" s="191">
        <v>38381</v>
      </c>
      <c r="X107" s="192">
        <f>IFERROR(W107/V107-1,"-")</f>
        <v>8.522068595017962E-2</v>
      </c>
      <c r="Y107" s="192">
        <f>W107/W$8</f>
        <v>1.2264843413218906E-2</v>
      </c>
    </row>
    <row r="108" spans="1:25" x14ac:dyDescent="0.25">
      <c r="A108" s="74"/>
      <c r="B108" s="194" t="s">
        <v>105</v>
      </c>
      <c r="C108" s="195">
        <v>0</v>
      </c>
      <c r="D108" s="195">
        <v>0</v>
      </c>
      <c r="E108" s="195">
        <v>0</v>
      </c>
      <c r="F108" s="195">
        <v>0</v>
      </c>
      <c r="G108" s="195">
        <v>0</v>
      </c>
      <c r="H108" s="195">
        <v>0</v>
      </c>
      <c r="I108" s="196" t="str">
        <f>IFERROR(H108/G108-1,"-")</f>
        <v>-</v>
      </c>
      <c r="J108" s="196">
        <f t="shared" si="78"/>
        <v>0</v>
      </c>
      <c r="K108" s="195">
        <v>273</v>
      </c>
      <c r="L108" s="195">
        <v>0</v>
      </c>
      <c r="M108" s="195">
        <v>0</v>
      </c>
      <c r="N108" s="195">
        <v>0</v>
      </c>
      <c r="O108" s="195">
        <v>0</v>
      </c>
      <c r="P108" s="195">
        <v>0</v>
      </c>
      <c r="Q108" s="196" t="str">
        <f>IFERROR(P108/O108-1,"-")</f>
        <v>-</v>
      </c>
      <c r="R108" s="196">
        <f t="shared" si="80"/>
        <v>0</v>
      </c>
      <c r="S108" s="195">
        <v>606</v>
      </c>
      <c r="T108" s="195">
        <v>8698</v>
      </c>
      <c r="U108" s="195">
        <v>12435</v>
      </c>
      <c r="V108" s="195">
        <v>10145</v>
      </c>
      <c r="W108" s="195">
        <v>13375</v>
      </c>
      <c r="X108" s="196">
        <f>IFERROR(W108/V108-1,"-")</f>
        <v>0.31838344011828479</v>
      </c>
      <c r="Y108" s="196">
        <f>W108/W$8</f>
        <v>4.2740491558792863E-3</v>
      </c>
    </row>
    <row r="109" spans="1:25" x14ac:dyDescent="0.25">
      <c r="A109" s="74"/>
      <c r="B109" s="194" t="s">
        <v>102</v>
      </c>
      <c r="C109" s="195">
        <v>0</v>
      </c>
      <c r="D109" s="195">
        <v>0</v>
      </c>
      <c r="E109" s="195">
        <v>0</v>
      </c>
      <c r="F109" s="195">
        <v>0</v>
      </c>
      <c r="G109" s="195">
        <v>0</v>
      </c>
      <c r="H109" s="195">
        <v>0</v>
      </c>
      <c r="I109" s="196" t="str">
        <f>IFERROR(H109/G109-1,"-")</f>
        <v>-</v>
      </c>
      <c r="J109" s="196">
        <f t="shared" si="78"/>
        <v>0</v>
      </c>
      <c r="K109" s="195">
        <v>5168</v>
      </c>
      <c r="L109" s="195">
        <v>0</v>
      </c>
      <c r="M109" s="195">
        <v>0</v>
      </c>
      <c r="N109" s="195">
        <v>0</v>
      </c>
      <c r="O109" s="195">
        <v>0</v>
      </c>
      <c r="P109" s="195">
        <v>0</v>
      </c>
      <c r="Q109" s="196" t="str">
        <f>IFERROR(P109/O109-1,"-")</f>
        <v>-</v>
      </c>
      <c r="R109" s="196">
        <f t="shared" si="80"/>
        <v>0</v>
      </c>
      <c r="S109" s="195">
        <v>21707</v>
      </c>
      <c r="T109" s="195">
        <v>22592</v>
      </c>
      <c r="U109" s="195">
        <v>24971</v>
      </c>
      <c r="V109" s="195">
        <v>25222</v>
      </c>
      <c r="W109" s="195">
        <v>25006</v>
      </c>
      <c r="X109" s="196">
        <f>IFERROR(W109/V109-1,"-")</f>
        <v>-8.5639521053049172E-3</v>
      </c>
      <c r="Y109" s="196">
        <f>W109/W$8</f>
        <v>7.9907942573396208E-3</v>
      </c>
    </row>
    <row r="110" spans="1:25" x14ac:dyDescent="0.25">
      <c r="A110" s="74"/>
      <c r="B110" s="190" t="s">
        <v>109</v>
      </c>
      <c r="C110" s="191">
        <v>0</v>
      </c>
      <c r="D110" s="191">
        <v>0</v>
      </c>
      <c r="E110" s="191">
        <v>0</v>
      </c>
      <c r="F110" s="191">
        <v>0</v>
      </c>
      <c r="G110" s="191">
        <v>0</v>
      </c>
      <c r="H110" s="191">
        <v>0</v>
      </c>
      <c r="I110" s="192" t="str">
        <f>IFERROR(H110/G110-1,"-")</f>
        <v>-</v>
      </c>
      <c r="J110" s="192">
        <f t="shared" si="78"/>
        <v>0</v>
      </c>
      <c r="K110" s="191">
        <v>17186</v>
      </c>
      <c r="L110" s="191">
        <v>0</v>
      </c>
      <c r="M110" s="191">
        <v>0</v>
      </c>
      <c r="N110" s="191">
        <v>0</v>
      </c>
      <c r="O110" s="191">
        <v>0</v>
      </c>
      <c r="P110" s="191">
        <v>0</v>
      </c>
      <c r="Q110" s="192" t="str">
        <f>IFERROR(P110/O110-1,"-")</f>
        <v>-</v>
      </c>
      <c r="R110" s="192">
        <f t="shared" si="80"/>
        <v>0</v>
      </c>
      <c r="S110" s="191">
        <v>23650</v>
      </c>
      <c r="T110" s="191">
        <v>93317</v>
      </c>
      <c r="U110" s="191">
        <v>126023</v>
      </c>
      <c r="V110" s="191">
        <v>121932</v>
      </c>
      <c r="W110" s="191">
        <v>128476</v>
      </c>
      <c r="X110" s="192">
        <f>IFERROR(W110/V110-1,"-")</f>
        <v>5.3669258275104159E-2</v>
      </c>
      <c r="Y110" s="192">
        <f>W110/W$8</f>
        <v>4.1055158082298857E-2</v>
      </c>
    </row>
    <row r="111" spans="1:25" s="74" customFormat="1" x14ac:dyDescent="0.25">
      <c r="B111" s="194" t="s">
        <v>112</v>
      </c>
      <c r="C111" s="195">
        <v>0</v>
      </c>
      <c r="D111" s="195">
        <v>0</v>
      </c>
      <c r="E111" s="195">
        <v>0</v>
      </c>
      <c r="F111" s="195">
        <v>0</v>
      </c>
      <c r="G111" s="195">
        <v>0</v>
      </c>
      <c r="H111" s="195">
        <v>0</v>
      </c>
      <c r="I111" s="196" t="str">
        <f t="shared" ref="I111:I118" si="81">IFERROR(H111/G111-1,"-")</f>
        <v>-</v>
      </c>
      <c r="J111" s="196">
        <f t="shared" si="78"/>
        <v>0</v>
      </c>
      <c r="K111" s="195">
        <v>9701</v>
      </c>
      <c r="L111" s="195">
        <v>0</v>
      </c>
      <c r="M111" s="195">
        <v>0</v>
      </c>
      <c r="N111" s="195">
        <v>0</v>
      </c>
      <c r="O111" s="195">
        <v>0</v>
      </c>
      <c r="P111" s="195">
        <v>0</v>
      </c>
      <c r="Q111" s="196" t="str">
        <f t="shared" ref="Q111:Q118" si="82">IFERROR(P111/O111-1,"-")</f>
        <v>-</v>
      </c>
      <c r="R111" s="196">
        <f t="shared" si="80"/>
        <v>0</v>
      </c>
      <c r="S111" s="195">
        <v>11536</v>
      </c>
      <c r="T111" s="195">
        <v>56042</v>
      </c>
      <c r="U111" s="195">
        <v>83042</v>
      </c>
      <c r="V111" s="195">
        <v>76715</v>
      </c>
      <c r="W111" s="195">
        <v>78574</v>
      </c>
      <c r="X111" s="196">
        <f t="shared" ref="X111:X118" si="83">IFERROR(W111/V111-1,"-")</f>
        <v>2.423254904516714E-2</v>
      </c>
      <c r="Y111" s="196">
        <f t="shared" ref="Y111:Y118" si="84">W111/W$8</f>
        <v>2.5108720626097873E-2</v>
      </c>
    </row>
    <row r="112" spans="1:25" s="74" customFormat="1" x14ac:dyDescent="0.25">
      <c r="B112" s="194" t="s">
        <v>115</v>
      </c>
      <c r="C112" s="195">
        <v>0</v>
      </c>
      <c r="D112" s="195">
        <v>0</v>
      </c>
      <c r="E112" s="195">
        <v>0</v>
      </c>
      <c r="F112" s="195">
        <v>0</v>
      </c>
      <c r="G112" s="195">
        <v>0</v>
      </c>
      <c r="H112" s="195">
        <v>0</v>
      </c>
      <c r="I112" s="196" t="str">
        <f t="shared" si="81"/>
        <v>-</v>
      </c>
      <c r="J112" s="196">
        <f t="shared" si="78"/>
        <v>0</v>
      </c>
      <c r="K112" s="195">
        <v>1353</v>
      </c>
      <c r="L112" s="195">
        <v>0</v>
      </c>
      <c r="M112" s="195">
        <v>0</v>
      </c>
      <c r="N112" s="195">
        <v>0</v>
      </c>
      <c r="O112" s="195">
        <v>0</v>
      </c>
      <c r="P112" s="195">
        <v>0</v>
      </c>
      <c r="Q112" s="196" t="str">
        <f t="shared" si="82"/>
        <v>-</v>
      </c>
      <c r="R112" s="196">
        <f t="shared" si="80"/>
        <v>0</v>
      </c>
      <c r="S112" s="195">
        <v>1861</v>
      </c>
      <c r="T112" s="195">
        <v>4079</v>
      </c>
      <c r="U112" s="195">
        <v>5399</v>
      </c>
      <c r="V112" s="195">
        <v>5111</v>
      </c>
      <c r="W112" s="195">
        <v>5802</v>
      </c>
      <c r="X112" s="196">
        <f t="shared" si="83"/>
        <v>0.13519859127372325</v>
      </c>
      <c r="Y112" s="196">
        <f t="shared" si="84"/>
        <v>1.8540585571896538E-3</v>
      </c>
    </row>
    <row r="113" spans="1:25" x14ac:dyDescent="0.25">
      <c r="A113" s="74"/>
      <c r="B113" s="194" t="s">
        <v>118</v>
      </c>
      <c r="C113" s="195">
        <v>0</v>
      </c>
      <c r="D113" s="195">
        <v>0</v>
      </c>
      <c r="E113" s="195">
        <v>0</v>
      </c>
      <c r="F113" s="195">
        <v>0</v>
      </c>
      <c r="G113" s="195">
        <v>0</v>
      </c>
      <c r="H113" s="195">
        <v>0</v>
      </c>
      <c r="I113" s="196" t="str">
        <f t="shared" si="81"/>
        <v>-</v>
      </c>
      <c r="J113" s="196">
        <f t="shared" si="78"/>
        <v>0</v>
      </c>
      <c r="K113" s="195">
        <v>895</v>
      </c>
      <c r="L113" s="195">
        <v>0</v>
      </c>
      <c r="M113" s="195">
        <v>0</v>
      </c>
      <c r="N113" s="195">
        <v>0</v>
      </c>
      <c r="O113" s="195">
        <v>0</v>
      </c>
      <c r="P113" s="195">
        <v>0</v>
      </c>
      <c r="Q113" s="196" t="str">
        <f t="shared" si="82"/>
        <v>-</v>
      </c>
      <c r="R113" s="196">
        <f t="shared" si="80"/>
        <v>0</v>
      </c>
      <c r="S113" s="195">
        <v>1351</v>
      </c>
      <c r="T113" s="195">
        <v>6231</v>
      </c>
      <c r="U113" s="195">
        <v>9908</v>
      </c>
      <c r="V113" s="195">
        <v>9298</v>
      </c>
      <c r="W113" s="195">
        <v>10733</v>
      </c>
      <c r="X113" s="196">
        <f t="shared" si="83"/>
        <v>0.15433426543342654</v>
      </c>
      <c r="Y113" s="196">
        <f t="shared" si="84"/>
        <v>3.4297846422469067E-3</v>
      </c>
    </row>
    <row r="114" spans="1:25" x14ac:dyDescent="0.25">
      <c r="A114" s="74"/>
      <c r="B114" s="194" t="s">
        <v>125</v>
      </c>
      <c r="C114" s="195">
        <v>0</v>
      </c>
      <c r="D114" s="195">
        <v>0</v>
      </c>
      <c r="E114" s="195">
        <v>0</v>
      </c>
      <c r="F114" s="195">
        <v>0</v>
      </c>
      <c r="G114" s="195">
        <v>0</v>
      </c>
      <c r="H114" s="195">
        <v>0</v>
      </c>
      <c r="I114" s="196" t="str">
        <f t="shared" si="81"/>
        <v>-</v>
      </c>
      <c r="J114" s="196">
        <f t="shared" si="78"/>
        <v>0</v>
      </c>
      <c r="K114" s="195">
        <v>429</v>
      </c>
      <c r="L114" s="195">
        <v>0</v>
      </c>
      <c r="M114" s="195">
        <v>0</v>
      </c>
      <c r="N114" s="195">
        <v>0</v>
      </c>
      <c r="O114" s="195">
        <v>0</v>
      </c>
      <c r="P114" s="195">
        <v>0</v>
      </c>
      <c r="Q114" s="196" t="str">
        <f t="shared" si="82"/>
        <v>-</v>
      </c>
      <c r="R114" s="196">
        <f t="shared" si="80"/>
        <v>0</v>
      </c>
      <c r="S114" s="195">
        <v>891</v>
      </c>
      <c r="T114" s="195">
        <v>4297</v>
      </c>
      <c r="U114" s="195">
        <v>3974</v>
      </c>
      <c r="V114" s="195">
        <v>4038</v>
      </c>
      <c r="W114" s="195">
        <v>4567</v>
      </c>
      <c r="X114" s="196">
        <f t="shared" si="83"/>
        <v>0.13100544824170379</v>
      </c>
      <c r="Y114" s="196">
        <f t="shared" si="84"/>
        <v>1.4594080370019214E-3</v>
      </c>
    </row>
    <row r="115" spans="1:25" x14ac:dyDescent="0.25">
      <c r="A115" s="74"/>
      <c r="B115" s="194" t="s">
        <v>121</v>
      </c>
      <c r="C115" s="195">
        <v>0</v>
      </c>
      <c r="D115" s="195">
        <v>0</v>
      </c>
      <c r="E115" s="195">
        <v>0</v>
      </c>
      <c r="F115" s="195">
        <v>0</v>
      </c>
      <c r="G115" s="195">
        <v>0</v>
      </c>
      <c r="H115" s="195">
        <v>0</v>
      </c>
      <c r="I115" s="196" t="str">
        <f t="shared" si="81"/>
        <v>-</v>
      </c>
      <c r="J115" s="196">
        <f t="shared" si="78"/>
        <v>0</v>
      </c>
      <c r="K115" s="195">
        <v>623</v>
      </c>
      <c r="L115" s="195">
        <v>0</v>
      </c>
      <c r="M115" s="195">
        <v>0</v>
      </c>
      <c r="N115" s="195">
        <v>0</v>
      </c>
      <c r="O115" s="195">
        <v>0</v>
      </c>
      <c r="P115" s="195">
        <v>0</v>
      </c>
      <c r="Q115" s="196" t="str">
        <f t="shared" si="82"/>
        <v>-</v>
      </c>
      <c r="R115" s="196">
        <f t="shared" si="80"/>
        <v>0</v>
      </c>
      <c r="S115" s="195">
        <v>2271</v>
      </c>
      <c r="T115" s="195">
        <v>3452</v>
      </c>
      <c r="U115" s="195">
        <v>3657</v>
      </c>
      <c r="V115" s="195">
        <v>3285</v>
      </c>
      <c r="W115" s="195">
        <v>3298</v>
      </c>
      <c r="X115" s="196">
        <f t="shared" si="83"/>
        <v>3.9573820395737425E-3</v>
      </c>
      <c r="Y115" s="196">
        <f t="shared" si="84"/>
        <v>1.0538926441936362E-3</v>
      </c>
    </row>
    <row r="116" spans="1:25" x14ac:dyDescent="0.25">
      <c r="A116" s="74"/>
      <c r="B116" s="194" t="s">
        <v>130</v>
      </c>
      <c r="C116" s="195">
        <v>0</v>
      </c>
      <c r="D116" s="195">
        <v>0</v>
      </c>
      <c r="E116" s="195">
        <v>0</v>
      </c>
      <c r="F116" s="195">
        <v>0</v>
      </c>
      <c r="G116" s="195">
        <v>0</v>
      </c>
      <c r="H116" s="195">
        <v>0</v>
      </c>
      <c r="I116" s="196" t="str">
        <f t="shared" si="81"/>
        <v>-</v>
      </c>
      <c r="J116" s="196">
        <f t="shared" si="78"/>
        <v>0</v>
      </c>
      <c r="K116" s="195">
        <v>206</v>
      </c>
      <c r="L116" s="195">
        <v>0</v>
      </c>
      <c r="M116" s="195">
        <v>0</v>
      </c>
      <c r="N116" s="195">
        <v>0</v>
      </c>
      <c r="O116" s="195">
        <v>0</v>
      </c>
      <c r="P116" s="195">
        <v>0</v>
      </c>
      <c r="Q116" s="196" t="str">
        <f t="shared" si="82"/>
        <v>-</v>
      </c>
      <c r="R116" s="196">
        <f t="shared" si="80"/>
        <v>0</v>
      </c>
      <c r="S116" s="195">
        <v>223</v>
      </c>
      <c r="T116" s="195">
        <v>484</v>
      </c>
      <c r="U116" s="195">
        <v>797</v>
      </c>
      <c r="V116" s="195">
        <v>839</v>
      </c>
      <c r="W116" s="195">
        <v>820</v>
      </c>
      <c r="X116" s="196">
        <f t="shared" si="83"/>
        <v>-2.2646007151370662E-2</v>
      </c>
      <c r="Y116" s="196">
        <f t="shared" si="84"/>
        <v>2.6203516320157116E-4</v>
      </c>
    </row>
    <row r="117" spans="1:25" x14ac:dyDescent="0.25">
      <c r="A117" s="74"/>
      <c r="B117" s="194" t="s">
        <v>133</v>
      </c>
      <c r="C117" s="195">
        <v>0</v>
      </c>
      <c r="D117" s="195">
        <v>0</v>
      </c>
      <c r="E117" s="195">
        <v>0</v>
      </c>
      <c r="F117" s="195">
        <v>0</v>
      </c>
      <c r="G117" s="195">
        <v>0</v>
      </c>
      <c r="H117" s="195">
        <v>0</v>
      </c>
      <c r="I117" s="196" t="str">
        <f t="shared" si="81"/>
        <v>-</v>
      </c>
      <c r="J117" s="196">
        <f t="shared" si="78"/>
        <v>0</v>
      </c>
      <c r="K117" s="195">
        <v>526</v>
      </c>
      <c r="L117" s="195">
        <v>0</v>
      </c>
      <c r="M117" s="195">
        <v>0</v>
      </c>
      <c r="N117" s="195">
        <v>0</v>
      </c>
      <c r="O117" s="195">
        <v>0</v>
      </c>
      <c r="P117" s="195">
        <v>0</v>
      </c>
      <c r="Q117" s="196" t="str">
        <f t="shared" si="82"/>
        <v>-</v>
      </c>
      <c r="R117" s="196">
        <f t="shared" si="80"/>
        <v>0</v>
      </c>
      <c r="S117" s="195">
        <v>534</v>
      </c>
      <c r="T117" s="195">
        <v>645</v>
      </c>
      <c r="U117" s="195">
        <v>414</v>
      </c>
      <c r="V117" s="195">
        <v>1046</v>
      </c>
      <c r="W117" s="195">
        <v>681</v>
      </c>
      <c r="X117" s="196">
        <f t="shared" si="83"/>
        <v>-0.34894837476099427</v>
      </c>
      <c r="Y117" s="196">
        <f t="shared" si="84"/>
        <v>2.1761700748813411E-4</v>
      </c>
    </row>
    <row r="118" spans="1:25" x14ac:dyDescent="0.25">
      <c r="A118" s="74"/>
      <c r="B118" s="199" t="s">
        <v>147</v>
      </c>
      <c r="C118" s="200">
        <f t="shared" ref="C118" si="85">C110-SUM(C111:C117)</f>
        <v>0</v>
      </c>
      <c r="D118" s="200">
        <f t="shared" ref="D118:H118" si="86">D110-SUM(D111:D117)</f>
        <v>0</v>
      </c>
      <c r="E118" s="200">
        <f t="shared" si="86"/>
        <v>0</v>
      </c>
      <c r="F118" s="200">
        <f t="shared" si="86"/>
        <v>0</v>
      </c>
      <c r="G118" s="200">
        <f t="shared" si="86"/>
        <v>0</v>
      </c>
      <c r="H118" s="200">
        <f t="shared" si="86"/>
        <v>0</v>
      </c>
      <c r="I118" s="201" t="str">
        <f t="shared" si="81"/>
        <v>-</v>
      </c>
      <c r="J118" s="201">
        <f t="shared" si="78"/>
        <v>0</v>
      </c>
      <c r="K118" s="200">
        <f t="shared" ref="K118:P118" si="87">K110-SUM(K111:K117)</f>
        <v>3453</v>
      </c>
      <c r="L118" s="200">
        <f t="shared" si="87"/>
        <v>0</v>
      </c>
      <c r="M118" s="200">
        <f t="shared" si="87"/>
        <v>0</v>
      </c>
      <c r="N118" s="200">
        <f t="shared" si="87"/>
        <v>0</v>
      </c>
      <c r="O118" s="200">
        <f t="shared" si="87"/>
        <v>0</v>
      </c>
      <c r="P118" s="200">
        <f t="shared" si="87"/>
        <v>0</v>
      </c>
      <c r="Q118" s="201" t="str">
        <f t="shared" si="82"/>
        <v>-</v>
      </c>
      <c r="R118" s="201">
        <f t="shared" si="80"/>
        <v>0</v>
      </c>
      <c r="S118" s="200">
        <f>S110-SUM(S111:S117)</f>
        <v>4983</v>
      </c>
      <c r="T118" s="200">
        <f>T110-SUM(T111:T117)</f>
        <v>18087</v>
      </c>
      <c r="U118" s="200">
        <f>U110-SUM(U111:U117)</f>
        <v>18832</v>
      </c>
      <c r="V118" s="200">
        <f>V110-SUM(V111:V117)</f>
        <v>21600</v>
      </c>
      <c r="W118" s="200">
        <f>W110-SUM(W111:W117)</f>
        <v>24001</v>
      </c>
      <c r="X118" s="201">
        <f t="shared" si="83"/>
        <v>0.11115740740740732</v>
      </c>
      <c r="Y118" s="201">
        <f t="shared" si="84"/>
        <v>7.6696414048791585E-3</v>
      </c>
    </row>
    <row r="119" spans="1:25" x14ac:dyDescent="0.25">
      <c r="A119" s="74"/>
      <c r="B119" s="186" t="s">
        <v>53</v>
      </c>
      <c r="C119" s="184"/>
      <c r="D119" s="184"/>
      <c r="E119" s="184"/>
      <c r="F119" s="184"/>
      <c r="G119" s="184"/>
      <c r="H119" s="184"/>
      <c r="I119" s="184"/>
      <c r="J119" s="184"/>
      <c r="K119" s="184"/>
      <c r="L119" s="184"/>
      <c r="M119" s="184"/>
      <c r="N119" s="184"/>
      <c r="O119" s="184"/>
      <c r="P119" s="184"/>
      <c r="Q119" s="184"/>
      <c r="R119" s="184"/>
      <c r="S119" s="184"/>
      <c r="T119" s="184"/>
      <c r="U119" s="184"/>
      <c r="V119" s="184"/>
      <c r="W119" s="184"/>
      <c r="X119" s="184"/>
      <c r="Y119" s="184"/>
    </row>
    <row r="120" spans="1:25" x14ac:dyDescent="0.25">
      <c r="A120" s="74"/>
      <c r="B120" s="187" t="s">
        <v>70</v>
      </c>
      <c r="C120" s="209">
        <f t="shared" ref="C120:H120" si="88">C121+C124</f>
        <v>33292</v>
      </c>
      <c r="D120" s="209">
        <f t="shared" si="88"/>
        <v>38912</v>
      </c>
      <c r="E120" s="209">
        <f t="shared" si="88"/>
        <v>62934</v>
      </c>
      <c r="F120" s="209">
        <f t="shared" si="88"/>
        <v>69792</v>
      </c>
      <c r="G120" s="209">
        <f t="shared" si="88"/>
        <v>75011</v>
      </c>
      <c r="H120" s="209">
        <f t="shared" si="88"/>
        <v>68219</v>
      </c>
      <c r="I120" s="210">
        <f>IFERROR(H120/G120-1,"-")</f>
        <v>-9.054671981442719E-2</v>
      </c>
      <c r="J120" s="210">
        <f t="shared" ref="J120:J132" si="89">H120/H$8</f>
        <v>0.12111931368267057</v>
      </c>
      <c r="K120" s="209">
        <f t="shared" ref="K120:P120" si="90">K121+K124</f>
        <v>33760</v>
      </c>
      <c r="L120" s="209">
        <f t="shared" si="90"/>
        <v>64687</v>
      </c>
      <c r="M120" s="209">
        <f t="shared" si="90"/>
        <v>95049</v>
      </c>
      <c r="N120" s="209">
        <f t="shared" si="90"/>
        <v>104520</v>
      </c>
      <c r="O120" s="209">
        <f t="shared" si="90"/>
        <v>106809</v>
      </c>
      <c r="P120" s="209">
        <f t="shared" si="90"/>
        <v>135194</v>
      </c>
      <c r="Q120" s="210">
        <f>IFERROR(P120/O120-1,"-")</f>
        <v>0.26575475849413444</v>
      </c>
      <c r="R120" s="210">
        <f t="shared" ref="R120:R132" si="91">P120/P$8</f>
        <v>5.2684351780299621E-2</v>
      </c>
      <c r="S120" s="209">
        <f>S121+S124</f>
        <v>67052</v>
      </c>
      <c r="T120" s="209">
        <f>T121+T124</f>
        <v>157983</v>
      </c>
      <c r="U120" s="209">
        <f>U121+U124</f>
        <v>174312</v>
      </c>
      <c r="V120" s="209">
        <f>V121+V124</f>
        <v>181820</v>
      </c>
      <c r="W120" s="209">
        <f>W121+W124</f>
        <v>203413</v>
      </c>
      <c r="X120" s="210">
        <f>IFERROR(W120/V120-1,"-")</f>
        <v>0.11876031239687612</v>
      </c>
      <c r="Y120" s="210">
        <f>W120/W$8</f>
        <v>6.5001656893074633E-2</v>
      </c>
    </row>
    <row r="121" spans="1:25" x14ac:dyDescent="0.25">
      <c r="A121" s="74"/>
      <c r="B121" s="190" t="s">
        <v>99</v>
      </c>
      <c r="C121" s="191">
        <v>15436</v>
      </c>
      <c r="D121" s="191">
        <v>20875</v>
      </c>
      <c r="E121" s="191">
        <v>36797</v>
      </c>
      <c r="F121" s="191">
        <v>45435</v>
      </c>
      <c r="G121" s="191">
        <v>52085</v>
      </c>
      <c r="H121" s="191">
        <v>44888</v>
      </c>
      <c r="I121" s="192">
        <f>IFERROR(H121/G121-1,"-")</f>
        <v>-0.13817797830469425</v>
      </c>
      <c r="J121" s="192">
        <f t="shared" si="89"/>
        <v>7.9696327307461498E-2</v>
      </c>
      <c r="K121" s="191">
        <v>20894</v>
      </c>
      <c r="L121" s="191">
        <v>47965</v>
      </c>
      <c r="M121" s="191">
        <v>60445</v>
      </c>
      <c r="N121" s="191">
        <v>62889</v>
      </c>
      <c r="O121" s="191">
        <v>63766</v>
      </c>
      <c r="P121" s="191">
        <v>87358</v>
      </c>
      <c r="Q121" s="192">
        <f>IFERROR(P121/O121-1,"-")</f>
        <v>0.36997773107925847</v>
      </c>
      <c r="R121" s="192">
        <f t="shared" si="91"/>
        <v>3.4042927961473249E-2</v>
      </c>
      <c r="S121" s="191">
        <v>36330</v>
      </c>
      <c r="T121" s="191">
        <v>97242</v>
      </c>
      <c r="U121" s="191">
        <v>108324</v>
      </c>
      <c r="V121" s="191">
        <v>115851</v>
      </c>
      <c r="W121" s="191">
        <v>132246</v>
      </c>
      <c r="X121" s="192">
        <f>IFERROR(W121/V121-1,"-")</f>
        <v>0.14151798430742946</v>
      </c>
      <c r="Y121" s="192">
        <f>W121/W$8</f>
        <v>4.2259880722871929E-2</v>
      </c>
    </row>
    <row r="122" spans="1:25" x14ac:dyDescent="0.25">
      <c r="A122" s="74"/>
      <c r="B122" s="194" t="s">
        <v>105</v>
      </c>
      <c r="C122" s="195">
        <v>7502</v>
      </c>
      <c r="D122" s="195">
        <v>9953</v>
      </c>
      <c r="E122" s="195">
        <v>21247</v>
      </c>
      <c r="F122" s="195">
        <v>20704</v>
      </c>
      <c r="G122" s="195">
        <v>31006</v>
      </c>
      <c r="H122" s="195">
        <v>27525</v>
      </c>
      <c r="I122" s="196">
        <f>IFERROR(H122/G122-1,"-")</f>
        <v>-0.11226859317551441</v>
      </c>
      <c r="J122" s="196">
        <f t="shared" si="89"/>
        <v>4.886921692073333E-2</v>
      </c>
      <c r="K122" s="195">
        <v>9189</v>
      </c>
      <c r="L122" s="195">
        <v>24995</v>
      </c>
      <c r="M122" s="195">
        <v>29459</v>
      </c>
      <c r="N122" s="195">
        <v>28111</v>
      </c>
      <c r="O122" s="195">
        <v>26429</v>
      </c>
      <c r="P122" s="195">
        <v>42707</v>
      </c>
      <c r="Q122" s="196">
        <f>IFERROR(P122/O122-1,"-")</f>
        <v>0.61591433652427252</v>
      </c>
      <c r="R122" s="196">
        <f t="shared" si="91"/>
        <v>1.66426809731294E-2</v>
      </c>
      <c r="S122" s="195">
        <v>16691</v>
      </c>
      <c r="T122" s="195">
        <v>50706</v>
      </c>
      <c r="U122" s="195">
        <v>48815</v>
      </c>
      <c r="V122" s="195">
        <v>57435</v>
      </c>
      <c r="W122" s="195">
        <v>70232</v>
      </c>
      <c r="X122" s="196">
        <f>IFERROR(W122/V122-1,"-")</f>
        <v>0.22280839209541226</v>
      </c>
      <c r="Y122" s="196">
        <f>W122/W$8</f>
        <v>2.2442992173137496E-2</v>
      </c>
    </row>
    <row r="123" spans="1:25" x14ac:dyDescent="0.25">
      <c r="A123" s="74"/>
      <c r="B123" s="194" t="s">
        <v>102</v>
      </c>
      <c r="C123" s="195">
        <v>7934</v>
      </c>
      <c r="D123" s="195">
        <v>10922</v>
      </c>
      <c r="E123" s="195">
        <v>15550</v>
      </c>
      <c r="F123" s="195">
        <v>24731</v>
      </c>
      <c r="G123" s="195">
        <v>21079</v>
      </c>
      <c r="H123" s="195">
        <v>17363</v>
      </c>
      <c r="I123" s="196">
        <f>IFERROR(H123/G123-1,"-")</f>
        <v>-0.1762891977797808</v>
      </c>
      <c r="J123" s="196">
        <f t="shared" si="89"/>
        <v>3.0827110386728168E-2</v>
      </c>
      <c r="K123" s="195">
        <v>11705</v>
      </c>
      <c r="L123" s="195">
        <v>22970</v>
      </c>
      <c r="M123" s="195">
        <v>30986</v>
      </c>
      <c r="N123" s="195">
        <v>34778</v>
      </c>
      <c r="O123" s="195">
        <v>37337</v>
      </c>
      <c r="P123" s="195">
        <v>44651</v>
      </c>
      <c r="Q123" s="196">
        <f>IFERROR(P123/O123-1,"-")</f>
        <v>0.19589147494442516</v>
      </c>
      <c r="R123" s="196">
        <f t="shared" si="91"/>
        <v>1.7400246988343849E-2</v>
      </c>
      <c r="S123" s="195">
        <v>19639</v>
      </c>
      <c r="T123" s="195">
        <v>46536</v>
      </c>
      <c r="U123" s="195">
        <v>59509</v>
      </c>
      <c r="V123" s="195">
        <v>58416</v>
      </c>
      <c r="W123" s="195">
        <v>62014</v>
      </c>
      <c r="X123" s="196">
        <f>IFERROR(W123/V123-1,"-")</f>
        <v>6.1592714324842479E-2</v>
      </c>
      <c r="Y123" s="196">
        <f>W123/W$8</f>
        <v>1.9816888549734433E-2</v>
      </c>
    </row>
    <row r="124" spans="1:25" x14ac:dyDescent="0.25">
      <c r="A124" s="74"/>
      <c r="B124" s="190" t="s">
        <v>109</v>
      </c>
      <c r="C124" s="191">
        <v>17856</v>
      </c>
      <c r="D124" s="191">
        <v>18037</v>
      </c>
      <c r="E124" s="191">
        <v>26137</v>
      </c>
      <c r="F124" s="191">
        <v>24357</v>
      </c>
      <c r="G124" s="191">
        <v>22926</v>
      </c>
      <c r="H124" s="191">
        <v>23331</v>
      </c>
      <c r="I124" s="192">
        <f>IFERROR(H124/G124-1,"-")</f>
        <v>1.7665532583093446E-2</v>
      </c>
      <c r="J124" s="192">
        <f t="shared" si="89"/>
        <v>4.142298637520906E-2</v>
      </c>
      <c r="K124" s="191">
        <v>12866</v>
      </c>
      <c r="L124" s="191">
        <v>16722</v>
      </c>
      <c r="M124" s="191">
        <v>34604</v>
      </c>
      <c r="N124" s="191">
        <v>41631</v>
      </c>
      <c r="O124" s="191">
        <v>43043</v>
      </c>
      <c r="P124" s="191">
        <v>47836</v>
      </c>
      <c r="Q124" s="192">
        <f>IFERROR(P124/O124-1,"-")</f>
        <v>0.11135376251655327</v>
      </c>
      <c r="R124" s="192">
        <f t="shared" si="91"/>
        <v>1.8641423818826372E-2</v>
      </c>
      <c r="S124" s="191">
        <v>30722</v>
      </c>
      <c r="T124" s="191">
        <v>60741</v>
      </c>
      <c r="U124" s="191">
        <v>65988</v>
      </c>
      <c r="V124" s="191">
        <v>65969</v>
      </c>
      <c r="W124" s="191">
        <v>71167</v>
      </c>
      <c r="X124" s="192">
        <f>IFERROR(W124/V124-1,"-")</f>
        <v>7.8794585335536294E-2</v>
      </c>
      <c r="Y124" s="192">
        <f>W124/W$8</f>
        <v>2.2741776170202704E-2</v>
      </c>
    </row>
    <row r="125" spans="1:25" s="74" customFormat="1" x14ac:dyDescent="0.25">
      <c r="B125" s="194" t="s">
        <v>112</v>
      </c>
      <c r="C125" s="195">
        <v>1098</v>
      </c>
      <c r="D125" s="195">
        <v>260</v>
      </c>
      <c r="E125" s="195">
        <v>1769</v>
      </c>
      <c r="F125" s="195">
        <v>2494</v>
      </c>
      <c r="G125" s="195">
        <v>1771</v>
      </c>
      <c r="H125" s="195">
        <v>1740</v>
      </c>
      <c r="I125" s="196">
        <f t="shared" ref="I125:I132" si="92">IFERROR(H125/G125-1,"-")</f>
        <v>-1.7504234895539206E-2</v>
      </c>
      <c r="J125" s="196">
        <f t="shared" si="89"/>
        <v>3.0892801977139327E-3</v>
      </c>
      <c r="K125" s="195">
        <v>1921</v>
      </c>
      <c r="L125" s="195">
        <v>1076</v>
      </c>
      <c r="M125" s="195">
        <v>4920</v>
      </c>
      <c r="N125" s="195">
        <v>6187</v>
      </c>
      <c r="O125" s="195">
        <v>6027</v>
      </c>
      <c r="P125" s="195">
        <v>5610</v>
      </c>
      <c r="Q125" s="196">
        <f t="shared" ref="Q125:Q132" si="93">IFERROR(P125/O125-1,"-")</f>
        <v>-6.9188651070184126E-2</v>
      </c>
      <c r="R125" s="196">
        <f t="shared" si="91"/>
        <v>2.1861858772392329E-3</v>
      </c>
      <c r="S125" s="195">
        <v>3019</v>
      </c>
      <c r="T125" s="195">
        <v>6689</v>
      </c>
      <c r="U125" s="195">
        <v>8681</v>
      </c>
      <c r="V125" s="195">
        <v>7798</v>
      </c>
      <c r="W125" s="195">
        <v>7350</v>
      </c>
      <c r="X125" s="196">
        <f t="shared" ref="X125:X132" si="94">IFERROR(W125/V125-1,"-")</f>
        <v>-5.7450628366247702E-2</v>
      </c>
      <c r="Y125" s="196">
        <f t="shared" ref="Y125:Y132" si="95">W125/W$8</f>
        <v>2.3487298165018882E-3</v>
      </c>
    </row>
    <row r="126" spans="1:25" s="74" customFormat="1" x14ac:dyDescent="0.25">
      <c r="B126" s="194" t="s">
        <v>115</v>
      </c>
      <c r="C126" s="195">
        <v>1350</v>
      </c>
      <c r="D126" s="195">
        <v>1336</v>
      </c>
      <c r="E126" s="195">
        <v>2110</v>
      </c>
      <c r="F126" s="195">
        <v>3208</v>
      </c>
      <c r="G126" s="195">
        <v>3221</v>
      </c>
      <c r="H126" s="195">
        <v>3054</v>
      </c>
      <c r="I126" s="196">
        <f t="shared" si="92"/>
        <v>-5.184725240608512E-2</v>
      </c>
      <c r="J126" s="196">
        <f t="shared" si="89"/>
        <v>5.4222193815047989E-3</v>
      </c>
      <c r="K126" s="195">
        <v>1835</v>
      </c>
      <c r="L126" s="195">
        <v>2133</v>
      </c>
      <c r="M126" s="195">
        <v>4261</v>
      </c>
      <c r="N126" s="195">
        <v>6018</v>
      </c>
      <c r="O126" s="195">
        <v>5594</v>
      </c>
      <c r="P126" s="195">
        <v>6604</v>
      </c>
      <c r="Q126" s="196">
        <f t="shared" si="93"/>
        <v>0.18055058991776907</v>
      </c>
      <c r="R126" s="196">
        <f t="shared" si="91"/>
        <v>2.5735421627964164E-3</v>
      </c>
      <c r="S126" s="195">
        <v>3185</v>
      </c>
      <c r="T126" s="195">
        <v>6371</v>
      </c>
      <c r="U126" s="195">
        <v>9226</v>
      </c>
      <c r="V126" s="195">
        <v>8815</v>
      </c>
      <c r="W126" s="195">
        <v>9658</v>
      </c>
      <c r="X126" s="196">
        <f t="shared" si="94"/>
        <v>9.5632444696539975E-2</v>
      </c>
      <c r="Y126" s="196">
        <f t="shared" si="95"/>
        <v>3.0862629343911883E-3</v>
      </c>
    </row>
    <row r="127" spans="1:25" x14ac:dyDescent="0.25">
      <c r="A127" s="74"/>
      <c r="B127" s="194" t="s">
        <v>118</v>
      </c>
      <c r="C127" s="195">
        <v>1002</v>
      </c>
      <c r="D127" s="195">
        <v>1422</v>
      </c>
      <c r="E127" s="195">
        <v>1806</v>
      </c>
      <c r="F127" s="195">
        <v>2154</v>
      </c>
      <c r="G127" s="195">
        <v>1918</v>
      </c>
      <c r="H127" s="195">
        <v>2013</v>
      </c>
      <c r="I127" s="196">
        <f t="shared" si="92"/>
        <v>4.9530761209593432E-2</v>
      </c>
      <c r="J127" s="196">
        <f t="shared" si="89"/>
        <v>3.5739776080449116E-3</v>
      </c>
      <c r="K127" s="195">
        <v>1222</v>
      </c>
      <c r="L127" s="195">
        <v>3461</v>
      </c>
      <c r="M127" s="195">
        <v>4071</v>
      </c>
      <c r="N127" s="195">
        <v>4167</v>
      </c>
      <c r="O127" s="195">
        <v>4323</v>
      </c>
      <c r="P127" s="195">
        <v>4777</v>
      </c>
      <c r="Q127" s="196">
        <f t="shared" si="93"/>
        <v>0.10501966227157067</v>
      </c>
      <c r="R127" s="196">
        <f t="shared" si="91"/>
        <v>1.8615703984976499E-3</v>
      </c>
      <c r="S127" s="195">
        <v>2224</v>
      </c>
      <c r="T127" s="195">
        <v>5877</v>
      </c>
      <c r="U127" s="195">
        <v>6321</v>
      </c>
      <c r="V127" s="195">
        <v>6241</v>
      </c>
      <c r="W127" s="195">
        <v>6790</v>
      </c>
      <c r="X127" s="196">
        <f t="shared" si="94"/>
        <v>8.7966672007691038E-2</v>
      </c>
      <c r="Y127" s="196">
        <f t="shared" si="95"/>
        <v>2.1697789733398395E-3</v>
      </c>
    </row>
    <row r="128" spans="1:25" x14ac:dyDescent="0.25">
      <c r="A128" s="74"/>
      <c r="B128" s="194" t="s">
        <v>125</v>
      </c>
      <c r="C128" s="195">
        <v>296</v>
      </c>
      <c r="D128" s="195">
        <v>184</v>
      </c>
      <c r="E128" s="195">
        <v>602</v>
      </c>
      <c r="F128" s="195">
        <v>504</v>
      </c>
      <c r="G128" s="195">
        <v>432</v>
      </c>
      <c r="H128" s="195">
        <v>581</v>
      </c>
      <c r="I128" s="196">
        <f t="shared" si="92"/>
        <v>0.34490740740740744</v>
      </c>
      <c r="J128" s="196">
        <f t="shared" si="89"/>
        <v>1.0315355142941349E-3</v>
      </c>
      <c r="K128" s="195">
        <v>298</v>
      </c>
      <c r="L128" s="195">
        <v>482</v>
      </c>
      <c r="M128" s="195">
        <v>1251</v>
      </c>
      <c r="N128" s="195">
        <v>1392</v>
      </c>
      <c r="O128" s="195">
        <v>1257</v>
      </c>
      <c r="P128" s="195">
        <v>1389</v>
      </c>
      <c r="Q128" s="196">
        <f t="shared" si="93"/>
        <v>0.1050119331742243</v>
      </c>
      <c r="R128" s="196">
        <f t="shared" si="91"/>
        <v>5.4128559420415232E-4</v>
      </c>
      <c r="S128" s="195">
        <v>594</v>
      </c>
      <c r="T128" s="195">
        <v>1853</v>
      </c>
      <c r="U128" s="195">
        <v>1896</v>
      </c>
      <c r="V128" s="195">
        <v>1689</v>
      </c>
      <c r="W128" s="195">
        <v>1970</v>
      </c>
      <c r="X128" s="196">
        <f t="shared" si="94"/>
        <v>0.16637063351095316</v>
      </c>
      <c r="Y128" s="196">
        <f t="shared" si="95"/>
        <v>6.2952350183792104E-4</v>
      </c>
    </row>
    <row r="129" spans="1:25" x14ac:dyDescent="0.25">
      <c r="A129" s="74"/>
      <c r="B129" s="194" t="s">
        <v>121</v>
      </c>
      <c r="C129" s="195">
        <v>233</v>
      </c>
      <c r="D129" s="195">
        <v>134</v>
      </c>
      <c r="E129" s="195">
        <v>438</v>
      </c>
      <c r="F129" s="195">
        <v>374</v>
      </c>
      <c r="G129" s="195">
        <v>383</v>
      </c>
      <c r="H129" s="195">
        <v>368</v>
      </c>
      <c r="I129" s="196">
        <f t="shared" si="92"/>
        <v>-3.9164490861618773E-2</v>
      </c>
      <c r="J129" s="196">
        <f t="shared" si="89"/>
        <v>6.533650073326018E-4</v>
      </c>
      <c r="K129" s="195">
        <v>345</v>
      </c>
      <c r="L129" s="195">
        <v>444</v>
      </c>
      <c r="M129" s="195">
        <v>825</v>
      </c>
      <c r="N129" s="195">
        <v>922</v>
      </c>
      <c r="O129" s="195">
        <v>1008</v>
      </c>
      <c r="P129" s="195">
        <v>1349</v>
      </c>
      <c r="Q129" s="196">
        <f t="shared" si="93"/>
        <v>0.3382936507936507</v>
      </c>
      <c r="R129" s="196">
        <f t="shared" si="91"/>
        <v>5.2569781611332004E-4</v>
      </c>
      <c r="S129" s="195">
        <v>578</v>
      </c>
      <c r="T129" s="195">
        <v>1263</v>
      </c>
      <c r="U129" s="195">
        <v>1296</v>
      </c>
      <c r="V129" s="195">
        <v>1391</v>
      </c>
      <c r="W129" s="195">
        <v>1717</v>
      </c>
      <c r="X129" s="196">
        <f t="shared" si="94"/>
        <v>0.23436376707404749</v>
      </c>
      <c r="Y129" s="196">
        <f t="shared" si="95"/>
        <v>5.4867606733792409E-4</v>
      </c>
    </row>
    <row r="130" spans="1:25" x14ac:dyDescent="0.25">
      <c r="A130" s="74"/>
      <c r="B130" s="194" t="s">
        <v>130</v>
      </c>
      <c r="C130" s="195">
        <v>174</v>
      </c>
      <c r="D130" s="195">
        <v>32</v>
      </c>
      <c r="E130" s="195">
        <v>167</v>
      </c>
      <c r="F130" s="195">
        <v>164</v>
      </c>
      <c r="G130" s="195">
        <v>171</v>
      </c>
      <c r="H130" s="195">
        <v>196</v>
      </c>
      <c r="I130" s="196">
        <f t="shared" si="92"/>
        <v>0.14619883040935666</v>
      </c>
      <c r="J130" s="196">
        <f t="shared" si="89"/>
        <v>3.4798788434019012E-4</v>
      </c>
      <c r="K130" s="195">
        <v>463</v>
      </c>
      <c r="L130" s="195">
        <v>66</v>
      </c>
      <c r="M130" s="195">
        <v>488</v>
      </c>
      <c r="N130" s="195">
        <v>697</v>
      </c>
      <c r="O130" s="195">
        <v>775</v>
      </c>
      <c r="P130" s="195">
        <v>565</v>
      </c>
      <c r="Q130" s="196">
        <f t="shared" si="93"/>
        <v>-0.2709677419354839</v>
      </c>
      <c r="R130" s="196">
        <f t="shared" si="91"/>
        <v>2.2017736553300654E-4</v>
      </c>
      <c r="S130" s="195">
        <v>637</v>
      </c>
      <c r="T130" s="195">
        <v>655</v>
      </c>
      <c r="U130" s="195">
        <v>861</v>
      </c>
      <c r="V130" s="195">
        <v>946</v>
      </c>
      <c r="W130" s="195">
        <v>761</v>
      </c>
      <c r="X130" s="196">
        <f t="shared" si="94"/>
        <v>-0.19556025369978858</v>
      </c>
      <c r="Y130" s="196">
        <f t="shared" si="95"/>
        <v>2.4318141365414108E-4</v>
      </c>
    </row>
    <row r="131" spans="1:25" x14ac:dyDescent="0.25">
      <c r="A131" s="74"/>
      <c r="B131" s="194" t="s">
        <v>133</v>
      </c>
      <c r="C131" s="195">
        <v>164</v>
      </c>
      <c r="D131" s="195">
        <v>81</v>
      </c>
      <c r="E131" s="195">
        <v>158</v>
      </c>
      <c r="F131" s="195">
        <v>271</v>
      </c>
      <c r="G131" s="195">
        <v>201</v>
      </c>
      <c r="H131" s="195">
        <v>211</v>
      </c>
      <c r="I131" s="196">
        <f t="shared" si="92"/>
        <v>4.9751243781094523E-2</v>
      </c>
      <c r="J131" s="196">
        <f t="shared" si="89"/>
        <v>3.7461961018255159E-4</v>
      </c>
      <c r="K131" s="195">
        <v>846</v>
      </c>
      <c r="L131" s="195">
        <v>146</v>
      </c>
      <c r="M131" s="195">
        <v>947</v>
      </c>
      <c r="N131" s="195">
        <v>1293</v>
      </c>
      <c r="O131" s="195">
        <v>1226</v>
      </c>
      <c r="P131" s="195">
        <v>1246</v>
      </c>
      <c r="Q131" s="196">
        <f t="shared" si="93"/>
        <v>1.6313213703099461E-2</v>
      </c>
      <c r="R131" s="196">
        <f t="shared" si="91"/>
        <v>4.855592875294268E-4</v>
      </c>
      <c r="S131" s="195">
        <v>1010</v>
      </c>
      <c r="T131" s="195">
        <v>1105</v>
      </c>
      <c r="U131" s="195">
        <v>1564</v>
      </c>
      <c r="V131" s="195">
        <v>1427</v>
      </c>
      <c r="W131" s="195">
        <v>1457</v>
      </c>
      <c r="X131" s="196">
        <f t="shared" si="94"/>
        <v>2.1023125437981793E-2</v>
      </c>
      <c r="Y131" s="196">
        <f t="shared" si="95"/>
        <v>4.655917472984015E-4</v>
      </c>
    </row>
    <row r="132" spans="1:25" x14ac:dyDescent="0.25">
      <c r="A132" s="74"/>
      <c r="B132" s="199" t="s">
        <v>147</v>
      </c>
      <c r="C132" s="200">
        <f t="shared" ref="C132" si="96">C124-SUM(C125:C131)</f>
        <v>13539</v>
      </c>
      <c r="D132" s="200">
        <f t="shared" ref="D132:H132" si="97">D124-SUM(D125:D131)</f>
        <v>14588</v>
      </c>
      <c r="E132" s="200">
        <f t="shared" si="97"/>
        <v>19087</v>
      </c>
      <c r="F132" s="200">
        <f t="shared" si="97"/>
        <v>15188</v>
      </c>
      <c r="G132" s="200">
        <f t="shared" si="97"/>
        <v>14829</v>
      </c>
      <c r="H132" s="200">
        <f t="shared" si="97"/>
        <v>15168</v>
      </c>
      <c r="I132" s="201">
        <f t="shared" si="92"/>
        <v>2.2860610965000916E-2</v>
      </c>
      <c r="J132" s="201">
        <f t="shared" si="89"/>
        <v>2.6930001171795937E-2</v>
      </c>
      <c r="K132" s="200">
        <f t="shared" ref="K132:P132" si="98">K124-SUM(K125:K131)</f>
        <v>5936</v>
      </c>
      <c r="L132" s="200">
        <f t="shared" si="98"/>
        <v>8914</v>
      </c>
      <c r="M132" s="200">
        <f t="shared" si="98"/>
        <v>17841</v>
      </c>
      <c r="N132" s="200">
        <f t="shared" si="98"/>
        <v>20955</v>
      </c>
      <c r="O132" s="200">
        <f t="shared" si="98"/>
        <v>22833</v>
      </c>
      <c r="P132" s="200">
        <f t="shared" si="98"/>
        <v>26296</v>
      </c>
      <c r="Q132" s="201">
        <f t="shared" si="93"/>
        <v>0.15166644768536774</v>
      </c>
      <c r="R132" s="201">
        <f t="shared" si="91"/>
        <v>1.0247405316913169E-2</v>
      </c>
      <c r="S132" s="200">
        <f>S124-SUM(S125:S131)</f>
        <v>19475</v>
      </c>
      <c r="T132" s="200">
        <f>T124-SUM(T125:T131)</f>
        <v>36928</v>
      </c>
      <c r="U132" s="200">
        <f>U124-SUM(U125:U131)</f>
        <v>36143</v>
      </c>
      <c r="V132" s="200">
        <f>V124-SUM(V125:V131)</f>
        <v>37662</v>
      </c>
      <c r="W132" s="200">
        <f>W124-SUM(W125:W131)</f>
        <v>41464</v>
      </c>
      <c r="X132" s="201">
        <f t="shared" si="94"/>
        <v>0.10095056024640225</v>
      </c>
      <c r="Y132" s="201">
        <f t="shared" si="95"/>
        <v>1.3250031715841399E-2</v>
      </c>
    </row>
    <row r="133" spans="1:25" x14ac:dyDescent="0.25">
      <c r="A133" s="74"/>
      <c r="B133" s="186" t="s">
        <v>54</v>
      </c>
      <c r="C133" s="184"/>
      <c r="D133" s="184"/>
      <c r="E133" s="184"/>
      <c r="F133" s="184"/>
      <c r="G133" s="184"/>
      <c r="H133" s="184"/>
      <c r="I133" s="184"/>
      <c r="J133" s="184"/>
      <c r="K133" s="184"/>
      <c r="L133" s="184"/>
      <c r="M133" s="184"/>
      <c r="N133" s="184"/>
      <c r="O133" s="184"/>
      <c r="P133" s="184"/>
      <c r="Q133" s="184"/>
      <c r="R133" s="184"/>
      <c r="S133" s="184"/>
      <c r="T133" s="184"/>
      <c r="U133" s="184"/>
      <c r="V133" s="184"/>
      <c r="W133" s="184"/>
      <c r="X133" s="184"/>
      <c r="Y133" s="184"/>
    </row>
    <row r="134" spans="1:25" x14ac:dyDescent="0.25">
      <c r="A134" s="74"/>
      <c r="B134" s="187" t="s">
        <v>70</v>
      </c>
      <c r="C134" s="209">
        <f t="shared" ref="C134:H134" si="99">C135+C138</f>
        <v>9862</v>
      </c>
      <c r="D134" s="209">
        <f t="shared" si="99"/>
        <v>12187</v>
      </c>
      <c r="E134" s="209">
        <f t="shared" si="99"/>
        <v>36976</v>
      </c>
      <c r="F134" s="209">
        <f t="shared" si="99"/>
        <v>36097</v>
      </c>
      <c r="G134" s="209">
        <f t="shared" si="99"/>
        <v>40056</v>
      </c>
      <c r="H134" s="209">
        <f t="shared" si="99"/>
        <v>38329</v>
      </c>
      <c r="I134" s="210">
        <f>IFERROR(H134/G134-1,"-")</f>
        <v>-4.3114639504693408E-2</v>
      </c>
      <c r="J134" s="210">
        <f t="shared" ref="J134:J146" si="100">H134/H$8</f>
        <v>6.8051161320791573E-2</v>
      </c>
      <c r="K134" s="209">
        <f t="shared" ref="K134:P134" si="101">K135+K138</f>
        <v>40956</v>
      </c>
      <c r="L134" s="209">
        <f t="shared" si="101"/>
        <v>25030</v>
      </c>
      <c r="M134" s="209">
        <f t="shared" si="101"/>
        <v>120299</v>
      </c>
      <c r="N134" s="209">
        <f t="shared" si="101"/>
        <v>132879</v>
      </c>
      <c r="O134" s="209">
        <f t="shared" si="101"/>
        <v>136256</v>
      </c>
      <c r="P134" s="209">
        <f t="shared" si="101"/>
        <v>134715</v>
      </c>
      <c r="Q134" s="210">
        <f>IFERROR(P134/O134-1,"-")</f>
        <v>-1.1309593705965293E-2</v>
      </c>
      <c r="R134" s="210">
        <f t="shared" ref="R134:R146" si="102">P134/P$8</f>
        <v>5.2497688137661903E-2</v>
      </c>
      <c r="S134" s="209">
        <f>S135+S138</f>
        <v>55367</v>
      </c>
      <c r="T134" s="209">
        <f>T135+T138</f>
        <v>157275</v>
      </c>
      <c r="U134" s="209">
        <f>U135+U138</f>
        <v>168976</v>
      </c>
      <c r="V134" s="209">
        <f>V135+V138</f>
        <v>176312</v>
      </c>
      <c r="W134" s="209">
        <f>W135+W138</f>
        <v>173044</v>
      </c>
      <c r="X134" s="210">
        <f>IFERROR(W134/V134-1,"-")</f>
        <v>-1.853532374427147E-2</v>
      </c>
      <c r="Y134" s="210">
        <f>W134/W$8</f>
        <v>5.5297088757381326E-2</v>
      </c>
    </row>
    <row r="135" spans="1:25" x14ac:dyDescent="0.25">
      <c r="A135" s="74"/>
      <c r="B135" s="190" t="s">
        <v>99</v>
      </c>
      <c r="C135" s="191">
        <v>2454</v>
      </c>
      <c r="D135" s="191">
        <v>4622</v>
      </c>
      <c r="E135" s="191">
        <v>4456</v>
      </c>
      <c r="F135" s="191">
        <v>5848</v>
      </c>
      <c r="G135" s="191">
        <v>6251</v>
      </c>
      <c r="H135" s="191">
        <v>2639</v>
      </c>
      <c r="I135" s="192">
        <f>IFERROR(H135/G135-1,"-")</f>
        <v>-0.57782754759238519</v>
      </c>
      <c r="J135" s="192">
        <f t="shared" si="100"/>
        <v>4.6854082998661313E-3</v>
      </c>
      <c r="K135" s="191">
        <v>6197</v>
      </c>
      <c r="L135" s="191">
        <v>10309</v>
      </c>
      <c r="M135" s="191">
        <v>13389</v>
      </c>
      <c r="N135" s="191">
        <v>13122</v>
      </c>
      <c r="O135" s="191">
        <v>10192</v>
      </c>
      <c r="P135" s="191">
        <v>16267</v>
      </c>
      <c r="Q135" s="192">
        <f>IFERROR(P135/O135-1,"-")</f>
        <v>0.59605572998430145</v>
      </c>
      <c r="R135" s="192">
        <f t="shared" si="102"/>
        <v>6.3391596550892342E-3</v>
      </c>
      <c r="S135" s="191">
        <v>11787</v>
      </c>
      <c r="T135" s="191">
        <v>17845</v>
      </c>
      <c r="U135" s="191">
        <v>18970</v>
      </c>
      <c r="V135" s="191">
        <v>16443</v>
      </c>
      <c r="W135" s="191">
        <v>18906</v>
      </c>
      <c r="X135" s="192">
        <f>IFERROR(W135/V135-1,"-")</f>
        <v>0.14979018427294299</v>
      </c>
      <c r="Y135" s="192">
        <f>W135/W$8</f>
        <v>6.0415082871815911E-3</v>
      </c>
    </row>
    <row r="136" spans="1:25" x14ac:dyDescent="0.25">
      <c r="A136" s="74"/>
      <c r="B136" s="194" t="s">
        <v>105</v>
      </c>
      <c r="C136" s="195">
        <v>2454</v>
      </c>
      <c r="D136" s="195">
        <v>4622</v>
      </c>
      <c r="E136" s="195">
        <v>4385</v>
      </c>
      <c r="F136" s="195">
        <v>5848</v>
      </c>
      <c r="G136" s="195">
        <v>6251</v>
      </c>
      <c r="H136" s="195">
        <v>2639</v>
      </c>
      <c r="I136" s="196">
        <f>IFERROR(H136/G136-1,"-")</f>
        <v>-0.57782754759238519</v>
      </c>
      <c r="J136" s="196">
        <f t="shared" si="100"/>
        <v>4.6854082998661313E-3</v>
      </c>
      <c r="K136" s="195">
        <v>3528</v>
      </c>
      <c r="L136" s="195">
        <v>5691</v>
      </c>
      <c r="M136" s="195">
        <v>8111</v>
      </c>
      <c r="N136" s="195">
        <v>6381</v>
      </c>
      <c r="O136" s="195">
        <v>4037</v>
      </c>
      <c r="P136" s="195">
        <v>9332</v>
      </c>
      <c r="Q136" s="196">
        <f>IFERROR(P136/O136-1,"-")</f>
        <v>1.3116175377755761</v>
      </c>
      <c r="R136" s="196">
        <f t="shared" si="102"/>
        <v>3.6366286285911807E-3</v>
      </c>
      <c r="S136" s="195">
        <v>7683</v>
      </c>
      <c r="T136" s="195">
        <v>12496</v>
      </c>
      <c r="U136" s="195">
        <v>12229</v>
      </c>
      <c r="V136" s="195">
        <v>10288</v>
      </c>
      <c r="W136" s="195">
        <v>11971</v>
      </c>
      <c r="X136" s="196">
        <f>IFERROR(W136/V136-1,"-")</f>
        <v>0.16358864696734066</v>
      </c>
      <c r="Y136" s="196">
        <f>W136/W$8</f>
        <v>3.8253938276658641E-3</v>
      </c>
    </row>
    <row r="137" spans="1:25" x14ac:dyDescent="0.25">
      <c r="A137" s="74"/>
      <c r="B137" s="194" t="s">
        <v>102</v>
      </c>
      <c r="C137" s="195">
        <v>0</v>
      </c>
      <c r="D137" s="195">
        <v>0</v>
      </c>
      <c r="E137" s="195">
        <v>71</v>
      </c>
      <c r="F137" s="195">
        <v>0</v>
      </c>
      <c r="G137" s="195">
        <v>0</v>
      </c>
      <c r="H137" s="195">
        <v>0</v>
      </c>
      <c r="I137" s="196" t="str">
        <f>IFERROR(H137/G137-1,"-")</f>
        <v>-</v>
      </c>
      <c r="J137" s="196">
        <f t="shared" si="100"/>
        <v>0</v>
      </c>
      <c r="K137" s="195">
        <v>2669</v>
      </c>
      <c r="L137" s="195">
        <v>4618</v>
      </c>
      <c r="M137" s="195">
        <v>5278</v>
      </c>
      <c r="N137" s="195">
        <v>6741</v>
      </c>
      <c r="O137" s="195">
        <v>6155</v>
      </c>
      <c r="P137" s="195">
        <v>6935</v>
      </c>
      <c r="Q137" s="196">
        <f>IFERROR(P137/O137-1,"-")</f>
        <v>0.12672623883021927</v>
      </c>
      <c r="R137" s="196">
        <f t="shared" si="102"/>
        <v>2.7025310264980535E-3</v>
      </c>
      <c r="S137" s="195">
        <v>4104</v>
      </c>
      <c r="T137" s="195">
        <v>5349</v>
      </c>
      <c r="U137" s="195">
        <v>6741</v>
      </c>
      <c r="V137" s="195">
        <v>6155</v>
      </c>
      <c r="W137" s="195">
        <v>6935</v>
      </c>
      <c r="X137" s="196">
        <f>IFERROR(W137/V137-1,"-")</f>
        <v>0.12672623883021927</v>
      </c>
      <c r="Y137" s="196">
        <f>W137/W$8</f>
        <v>2.216114459515727E-3</v>
      </c>
    </row>
    <row r="138" spans="1:25" x14ac:dyDescent="0.25">
      <c r="A138" s="74"/>
      <c r="B138" s="190" t="s">
        <v>109</v>
      </c>
      <c r="C138" s="191">
        <v>7408</v>
      </c>
      <c r="D138" s="191">
        <v>7565</v>
      </c>
      <c r="E138" s="191">
        <v>32520</v>
      </c>
      <c r="F138" s="191">
        <v>30249</v>
      </c>
      <c r="G138" s="191">
        <v>33805</v>
      </c>
      <c r="H138" s="191">
        <v>35690</v>
      </c>
      <c r="I138" s="192">
        <f>IFERROR(H138/G138-1,"-")</f>
        <v>5.5760982103239209E-2</v>
      </c>
      <c r="J138" s="192">
        <f t="shared" si="100"/>
        <v>6.3365753020925439E-2</v>
      </c>
      <c r="K138" s="191">
        <v>34759</v>
      </c>
      <c r="L138" s="191">
        <v>14721</v>
      </c>
      <c r="M138" s="191">
        <v>106910</v>
      </c>
      <c r="N138" s="191">
        <v>119757</v>
      </c>
      <c r="O138" s="191">
        <v>126064</v>
      </c>
      <c r="P138" s="191">
        <v>118448</v>
      </c>
      <c r="Q138" s="192">
        <f>IFERROR(P138/O138-1,"-")</f>
        <v>-6.0413758091128367E-2</v>
      </c>
      <c r="R138" s="192">
        <f t="shared" si="102"/>
        <v>4.6158528482572667E-2</v>
      </c>
      <c r="S138" s="191">
        <v>43580</v>
      </c>
      <c r="T138" s="191">
        <v>139430</v>
      </c>
      <c r="U138" s="191">
        <v>150006</v>
      </c>
      <c r="V138" s="191">
        <v>159869</v>
      </c>
      <c r="W138" s="191">
        <v>154138</v>
      </c>
      <c r="X138" s="192">
        <f>IFERROR(W138/V138-1,"-")</f>
        <v>-3.5848100632392743E-2</v>
      </c>
      <c r="Y138" s="192">
        <f>W138/W$8</f>
        <v>4.9255580470199734E-2</v>
      </c>
    </row>
    <row r="139" spans="1:25" s="74" customFormat="1" x14ac:dyDescent="0.25">
      <c r="B139" s="194" t="s">
        <v>112</v>
      </c>
      <c r="C139" s="195">
        <v>3361</v>
      </c>
      <c r="D139" s="195">
        <v>3323</v>
      </c>
      <c r="E139" s="195">
        <v>16427</v>
      </c>
      <c r="F139" s="195">
        <v>15330</v>
      </c>
      <c r="G139" s="195">
        <v>19327</v>
      </c>
      <c r="H139" s="195">
        <v>20420</v>
      </c>
      <c r="I139" s="196">
        <f t="shared" ref="I139:I146" si="103">IFERROR(H139/G139-1,"-")</f>
        <v>5.6553008744243849E-2</v>
      </c>
      <c r="J139" s="196">
        <f t="shared" si="100"/>
        <v>3.6254656113401437E-2</v>
      </c>
      <c r="K139" s="195">
        <v>12472</v>
      </c>
      <c r="L139" s="195">
        <v>1862</v>
      </c>
      <c r="M139" s="195">
        <v>44609</v>
      </c>
      <c r="N139" s="195">
        <v>50285</v>
      </c>
      <c r="O139" s="195">
        <v>53456</v>
      </c>
      <c r="P139" s="195">
        <v>52019</v>
      </c>
      <c r="Q139" s="196">
        <f t="shared" ref="Q139:Q146" si="104">IFERROR(P139/O139-1,"-")</f>
        <v>-2.6881921580365176E-2</v>
      </c>
      <c r="R139" s="196">
        <f t="shared" si="102"/>
        <v>2.0271515712675162E-2</v>
      </c>
      <c r="S139" s="195">
        <v>15952</v>
      </c>
      <c r="T139" s="195">
        <v>61036</v>
      </c>
      <c r="U139" s="195">
        <v>65615</v>
      </c>
      <c r="V139" s="195">
        <v>72783</v>
      </c>
      <c r="W139" s="195">
        <v>72439</v>
      </c>
      <c r="X139" s="196">
        <f t="shared" ref="X139:X146" si="105">IFERROR(W139/V139-1,"-")</f>
        <v>-4.726378412541421E-3</v>
      </c>
      <c r="Y139" s="196">
        <f t="shared" ref="Y139:Y146" si="106">W139/W$8</f>
        <v>2.3148250228242215E-2</v>
      </c>
    </row>
    <row r="140" spans="1:25" s="74" customFormat="1" x14ac:dyDescent="0.25">
      <c r="B140" s="194" t="s">
        <v>115</v>
      </c>
      <c r="C140" s="195">
        <v>1257</v>
      </c>
      <c r="D140" s="195">
        <v>680</v>
      </c>
      <c r="E140" s="195">
        <v>1026</v>
      </c>
      <c r="F140" s="195">
        <v>1373</v>
      </c>
      <c r="G140" s="195">
        <v>1223</v>
      </c>
      <c r="H140" s="195">
        <v>1351</v>
      </c>
      <c r="I140" s="196">
        <f t="shared" si="103"/>
        <v>0.10466067048242023</v>
      </c>
      <c r="J140" s="196">
        <f t="shared" si="100"/>
        <v>2.3986307742020247E-3</v>
      </c>
      <c r="K140" s="195">
        <v>2280</v>
      </c>
      <c r="L140" s="195">
        <v>1466</v>
      </c>
      <c r="M140" s="195">
        <v>7720</v>
      </c>
      <c r="N140" s="195">
        <v>11483</v>
      </c>
      <c r="O140" s="195">
        <v>12140</v>
      </c>
      <c r="P140" s="195">
        <v>11647</v>
      </c>
      <c r="Q140" s="196">
        <f t="shared" si="104"/>
        <v>-4.0609555189456303E-2</v>
      </c>
      <c r="R140" s="196">
        <f t="shared" si="102"/>
        <v>4.5387712855981012E-3</v>
      </c>
      <c r="S140" s="195">
        <v>3597</v>
      </c>
      <c r="T140" s="195">
        <v>8746</v>
      </c>
      <c r="U140" s="195">
        <v>12856</v>
      </c>
      <c r="V140" s="195">
        <v>13363</v>
      </c>
      <c r="W140" s="195">
        <v>12998</v>
      </c>
      <c r="X140" s="196">
        <f t="shared" si="105"/>
        <v>-2.7314225847489326E-2</v>
      </c>
      <c r="Y140" s="196">
        <f t="shared" si="106"/>
        <v>4.1535768918219782E-3</v>
      </c>
    </row>
    <row r="141" spans="1:25" x14ac:dyDescent="0.25">
      <c r="A141" s="74"/>
      <c r="B141" s="194" t="s">
        <v>118</v>
      </c>
      <c r="C141" s="195">
        <v>147</v>
      </c>
      <c r="D141" s="195">
        <v>371</v>
      </c>
      <c r="E141" s="195">
        <v>4892</v>
      </c>
      <c r="F141" s="195">
        <v>3993</v>
      </c>
      <c r="G141" s="195">
        <v>3899</v>
      </c>
      <c r="H141" s="195">
        <v>3857</v>
      </c>
      <c r="I141" s="196">
        <f t="shared" si="103"/>
        <v>-1.0771992818671472E-2</v>
      </c>
      <c r="J141" s="196">
        <f t="shared" si="100"/>
        <v>6.8479044382658838E-3</v>
      </c>
      <c r="K141" s="195">
        <v>3786</v>
      </c>
      <c r="L141" s="195">
        <v>3158</v>
      </c>
      <c r="M141" s="195">
        <v>12813</v>
      </c>
      <c r="N141" s="195">
        <v>12029</v>
      </c>
      <c r="O141" s="195">
        <v>12213</v>
      </c>
      <c r="P141" s="195">
        <v>10314</v>
      </c>
      <c r="Q141" s="196">
        <f t="shared" si="104"/>
        <v>-0.15549005158437734</v>
      </c>
      <c r="R141" s="196">
        <f t="shared" si="102"/>
        <v>4.0193085807211136E-3</v>
      </c>
      <c r="S141" s="195">
        <v>4152</v>
      </c>
      <c r="T141" s="195">
        <v>17705</v>
      </c>
      <c r="U141" s="195">
        <v>16022</v>
      </c>
      <c r="V141" s="195">
        <v>16112</v>
      </c>
      <c r="W141" s="195">
        <v>14171</v>
      </c>
      <c r="X141" s="196">
        <f t="shared" si="105"/>
        <v>-0.12046921549155909</v>
      </c>
      <c r="Y141" s="196">
        <f t="shared" si="106"/>
        <v>4.5284149972310552E-3</v>
      </c>
    </row>
    <row r="142" spans="1:25" x14ac:dyDescent="0.25">
      <c r="A142" s="74"/>
      <c r="B142" s="194" t="s">
        <v>125</v>
      </c>
      <c r="C142" s="195">
        <v>113</v>
      </c>
      <c r="D142" s="195">
        <v>613</v>
      </c>
      <c r="E142" s="195">
        <v>3543</v>
      </c>
      <c r="F142" s="195">
        <v>2717</v>
      </c>
      <c r="G142" s="195">
        <v>1486</v>
      </c>
      <c r="H142" s="195">
        <v>943</v>
      </c>
      <c r="I142" s="196">
        <f t="shared" si="103"/>
        <v>-0.36541049798115743</v>
      </c>
      <c r="J142" s="196">
        <f t="shared" si="100"/>
        <v>1.6742478312897922E-3</v>
      </c>
      <c r="K142" s="195">
        <v>447</v>
      </c>
      <c r="L142" s="195">
        <v>294</v>
      </c>
      <c r="M142" s="195">
        <v>3069</v>
      </c>
      <c r="N142" s="195">
        <v>2937</v>
      </c>
      <c r="O142" s="195">
        <v>2319</v>
      </c>
      <c r="P142" s="195">
        <v>2380</v>
      </c>
      <c r="Q142" s="196">
        <f t="shared" si="104"/>
        <v>2.6304441569642067E-2</v>
      </c>
      <c r="R142" s="196">
        <f t="shared" si="102"/>
        <v>9.274727964045231E-4</v>
      </c>
      <c r="S142" s="195">
        <v>562</v>
      </c>
      <c r="T142" s="195">
        <v>6612</v>
      </c>
      <c r="U142" s="195">
        <v>5654</v>
      </c>
      <c r="V142" s="195">
        <v>3805</v>
      </c>
      <c r="W142" s="195">
        <v>3323</v>
      </c>
      <c r="X142" s="196">
        <f t="shared" si="105"/>
        <v>-0.12667542706964519</v>
      </c>
      <c r="Y142" s="196">
        <f t="shared" si="106"/>
        <v>1.0618815211205135E-3</v>
      </c>
    </row>
    <row r="143" spans="1:25" x14ac:dyDescent="0.25">
      <c r="A143" s="74"/>
      <c r="B143" s="194" t="s">
        <v>121</v>
      </c>
      <c r="C143" s="195">
        <v>428</v>
      </c>
      <c r="D143" s="195">
        <v>765</v>
      </c>
      <c r="E143" s="195">
        <v>280</v>
      </c>
      <c r="F143" s="195">
        <v>774</v>
      </c>
      <c r="G143" s="195">
        <v>791</v>
      </c>
      <c r="H143" s="195">
        <v>0</v>
      </c>
      <c r="I143" s="196">
        <f t="shared" si="103"/>
        <v>-1</v>
      </c>
      <c r="J143" s="196">
        <f t="shared" si="100"/>
        <v>0</v>
      </c>
      <c r="K143" s="195">
        <v>773</v>
      </c>
      <c r="L143" s="195">
        <v>469</v>
      </c>
      <c r="M143" s="195">
        <v>2355</v>
      </c>
      <c r="N143" s="195">
        <v>2569</v>
      </c>
      <c r="O143" s="195">
        <v>2964</v>
      </c>
      <c r="P143" s="195">
        <v>2601</v>
      </c>
      <c r="Q143" s="196">
        <f t="shared" si="104"/>
        <v>-0.12246963562753033</v>
      </c>
      <c r="R143" s="196">
        <f t="shared" si="102"/>
        <v>1.0135952703563718E-3</v>
      </c>
      <c r="S143" s="195">
        <v>1346</v>
      </c>
      <c r="T143" s="195">
        <v>2635</v>
      </c>
      <c r="U143" s="195">
        <v>3343</v>
      </c>
      <c r="V143" s="195">
        <v>3755</v>
      </c>
      <c r="W143" s="195">
        <v>2601</v>
      </c>
      <c r="X143" s="196">
        <f t="shared" si="105"/>
        <v>-0.30732356857523302</v>
      </c>
      <c r="Y143" s="196">
        <f t="shared" si="106"/>
        <v>8.311627554723008E-4</v>
      </c>
    </row>
    <row r="144" spans="1:25" x14ac:dyDescent="0.25">
      <c r="A144" s="74"/>
      <c r="B144" s="194" t="s">
        <v>130</v>
      </c>
      <c r="C144" s="195">
        <v>142</v>
      </c>
      <c r="D144" s="195">
        <v>0</v>
      </c>
      <c r="E144" s="195">
        <v>79</v>
      </c>
      <c r="F144" s="195">
        <v>139</v>
      </c>
      <c r="G144" s="195">
        <v>6</v>
      </c>
      <c r="H144" s="195">
        <v>0</v>
      </c>
      <c r="I144" s="196">
        <f t="shared" si="103"/>
        <v>-1</v>
      </c>
      <c r="J144" s="196">
        <f t="shared" si="100"/>
        <v>0</v>
      </c>
      <c r="K144" s="195">
        <v>1439</v>
      </c>
      <c r="L144" s="195">
        <v>17</v>
      </c>
      <c r="M144" s="195">
        <v>1578</v>
      </c>
      <c r="N144" s="195">
        <v>1825</v>
      </c>
      <c r="O144" s="195">
        <v>1836</v>
      </c>
      <c r="P144" s="195">
        <v>2040</v>
      </c>
      <c r="Q144" s="196">
        <f t="shared" si="104"/>
        <v>0.11111111111111116</v>
      </c>
      <c r="R144" s="196">
        <f t="shared" si="102"/>
        <v>7.9497668263244837E-4</v>
      </c>
      <c r="S144" s="195">
        <v>1581</v>
      </c>
      <c r="T144" s="195">
        <v>1657</v>
      </c>
      <c r="U144" s="195">
        <v>1964</v>
      </c>
      <c r="V144" s="195">
        <v>1842</v>
      </c>
      <c r="W144" s="195">
        <v>2040</v>
      </c>
      <c r="X144" s="196">
        <f t="shared" si="105"/>
        <v>0.10749185667752448</v>
      </c>
      <c r="Y144" s="196">
        <f t="shared" si="106"/>
        <v>6.5189235723317712E-4</v>
      </c>
    </row>
    <row r="145" spans="1:25" x14ac:dyDescent="0.25">
      <c r="A145" s="74"/>
      <c r="B145" s="194" t="s">
        <v>133</v>
      </c>
      <c r="C145" s="195">
        <v>815</v>
      </c>
      <c r="D145" s="195">
        <v>2</v>
      </c>
      <c r="E145" s="195">
        <v>49</v>
      </c>
      <c r="F145" s="195">
        <v>62</v>
      </c>
      <c r="G145" s="195">
        <v>54</v>
      </c>
      <c r="H145" s="195">
        <v>0</v>
      </c>
      <c r="I145" s="196">
        <f t="shared" si="103"/>
        <v>-1</v>
      </c>
      <c r="J145" s="196">
        <f t="shared" si="100"/>
        <v>0</v>
      </c>
      <c r="K145" s="195">
        <v>2465</v>
      </c>
      <c r="L145" s="195">
        <v>4</v>
      </c>
      <c r="M145" s="195">
        <v>693</v>
      </c>
      <c r="N145" s="195">
        <v>1267</v>
      </c>
      <c r="O145" s="195">
        <v>1116</v>
      </c>
      <c r="P145" s="195">
        <v>829</v>
      </c>
      <c r="Q145" s="196">
        <f t="shared" si="104"/>
        <v>-0.25716845878136196</v>
      </c>
      <c r="R145" s="196">
        <f t="shared" si="102"/>
        <v>3.2305670093249987E-4</v>
      </c>
      <c r="S145" s="195">
        <v>3280</v>
      </c>
      <c r="T145" s="195">
        <v>742</v>
      </c>
      <c r="U145" s="195">
        <v>1329</v>
      </c>
      <c r="V145" s="195">
        <v>1170</v>
      </c>
      <c r="W145" s="195">
        <v>829</v>
      </c>
      <c r="X145" s="196">
        <f t="shared" si="105"/>
        <v>-0.29145299145299142</v>
      </c>
      <c r="Y145" s="196">
        <f t="shared" si="106"/>
        <v>2.6491115889524695E-4</v>
      </c>
    </row>
    <row r="146" spans="1:25" x14ac:dyDescent="0.25">
      <c r="A146" s="74"/>
      <c r="B146" s="199" t="s">
        <v>147</v>
      </c>
      <c r="C146" s="200">
        <f t="shared" ref="C146" si="107">C138-SUM(C139:C145)</f>
        <v>1145</v>
      </c>
      <c r="D146" s="200">
        <f t="shared" ref="D146:H146" si="108">D138-SUM(D139:D145)</f>
        <v>1811</v>
      </c>
      <c r="E146" s="200">
        <f t="shared" si="108"/>
        <v>6224</v>
      </c>
      <c r="F146" s="200">
        <f t="shared" si="108"/>
        <v>5861</v>
      </c>
      <c r="G146" s="200">
        <f t="shared" si="108"/>
        <v>7019</v>
      </c>
      <c r="H146" s="200">
        <f t="shared" si="108"/>
        <v>9119</v>
      </c>
      <c r="I146" s="201">
        <f t="shared" si="103"/>
        <v>0.29918791850690973</v>
      </c>
      <c r="J146" s="201">
        <f t="shared" si="100"/>
        <v>1.6190313863766292E-2</v>
      </c>
      <c r="K146" s="200">
        <f t="shared" ref="K146:P146" si="109">K138-SUM(K139:K145)</f>
        <v>11097</v>
      </c>
      <c r="L146" s="200">
        <f t="shared" si="109"/>
        <v>7451</v>
      </c>
      <c r="M146" s="200">
        <f t="shared" si="109"/>
        <v>34073</v>
      </c>
      <c r="N146" s="200">
        <f t="shared" si="109"/>
        <v>37362</v>
      </c>
      <c r="O146" s="200">
        <f t="shared" si="109"/>
        <v>40020</v>
      </c>
      <c r="P146" s="200">
        <f t="shared" si="109"/>
        <v>36618</v>
      </c>
      <c r="Q146" s="201">
        <f t="shared" si="104"/>
        <v>-8.5007496251874093E-2</v>
      </c>
      <c r="R146" s="201">
        <f t="shared" si="102"/>
        <v>1.4269831453252448E-2</v>
      </c>
      <c r="S146" s="200">
        <f>S138-SUM(S139:S145)</f>
        <v>13110</v>
      </c>
      <c r="T146" s="200">
        <f>T138-SUM(T139:T145)</f>
        <v>40297</v>
      </c>
      <c r="U146" s="200">
        <f>U138-SUM(U139:U145)</f>
        <v>43223</v>
      </c>
      <c r="V146" s="200">
        <f>V138-SUM(V139:V145)</f>
        <v>47039</v>
      </c>
      <c r="W146" s="200">
        <f>W138-SUM(W139:W145)</f>
        <v>45737</v>
      </c>
      <c r="X146" s="201">
        <f t="shared" si="105"/>
        <v>-2.7679159846085155E-2</v>
      </c>
      <c r="Y146" s="201">
        <f t="shared" si="106"/>
        <v>1.4615490560183245E-2</v>
      </c>
    </row>
    <row r="147" spans="1:25" x14ac:dyDescent="0.25">
      <c r="A147" s="74"/>
      <c r="B147" s="186" t="s">
        <v>55</v>
      </c>
      <c r="C147" s="184"/>
      <c r="D147" s="184"/>
      <c r="E147" s="184"/>
      <c r="F147" s="184"/>
      <c r="G147" s="184"/>
      <c r="H147" s="184"/>
      <c r="I147" s="184"/>
      <c r="J147" s="184"/>
      <c r="K147" s="184"/>
      <c r="L147" s="184"/>
      <c r="M147" s="184"/>
      <c r="N147" s="184"/>
      <c r="O147" s="184"/>
      <c r="P147" s="184"/>
      <c r="Q147" s="184"/>
      <c r="R147" s="184"/>
      <c r="S147" s="184"/>
      <c r="T147" s="184"/>
      <c r="U147" s="184"/>
      <c r="V147" s="184"/>
      <c r="W147" s="184"/>
      <c r="X147" s="184"/>
      <c r="Y147" s="184"/>
    </row>
    <row r="148" spans="1:25" x14ac:dyDescent="0.25">
      <c r="A148" s="74"/>
      <c r="B148" s="187" t="s">
        <v>70</v>
      </c>
      <c r="C148" s="209">
        <f t="shared" ref="C148:H148" si="110">C149+C152</f>
        <v>8632</v>
      </c>
      <c r="D148" s="209">
        <f t="shared" si="110"/>
        <v>8367</v>
      </c>
      <c r="E148" s="209">
        <f t="shared" si="110"/>
        <v>21427</v>
      </c>
      <c r="F148" s="209">
        <f t="shared" si="110"/>
        <v>21446</v>
      </c>
      <c r="G148" s="209">
        <f t="shared" si="110"/>
        <v>26088</v>
      </c>
      <c r="H148" s="209">
        <f t="shared" si="110"/>
        <v>25518</v>
      </c>
      <c r="I148" s="210">
        <f>IFERROR(H148/G148-1,"-")</f>
        <v>-2.1849126034958588E-2</v>
      </c>
      <c r="J148" s="210">
        <f t="shared" ref="J148:J160" si="111">H148/H$8</f>
        <v>4.5305892003025365E-2</v>
      </c>
      <c r="K148" s="209">
        <f t="shared" ref="K148:P148" si="112">K149+K152</f>
        <v>21795</v>
      </c>
      <c r="L148" s="209">
        <f t="shared" si="112"/>
        <v>34156</v>
      </c>
      <c r="M148" s="209">
        <f t="shared" si="112"/>
        <v>57564</v>
      </c>
      <c r="N148" s="209">
        <f t="shared" si="112"/>
        <v>61552</v>
      </c>
      <c r="O148" s="209">
        <f t="shared" si="112"/>
        <v>60228</v>
      </c>
      <c r="P148" s="209">
        <f t="shared" si="112"/>
        <v>59567</v>
      </c>
      <c r="Q148" s="210">
        <f>IFERROR(P148/O148-1,"-")</f>
        <v>-1.0974961811781925E-2</v>
      </c>
      <c r="R148" s="210">
        <f t="shared" ref="R148:R160" si="113">P148/P$8</f>
        <v>2.3212929438415221E-2</v>
      </c>
      <c r="S148" s="209">
        <f>S149+S152</f>
        <v>30427</v>
      </c>
      <c r="T148" s="209">
        <f>T149+T152</f>
        <v>78991</v>
      </c>
      <c r="U148" s="209">
        <f>U149+U152</f>
        <v>82998</v>
      </c>
      <c r="V148" s="209">
        <f>V149+V152</f>
        <v>86316</v>
      </c>
      <c r="W148" s="209">
        <f>W149+W152</f>
        <v>85085</v>
      </c>
      <c r="X148" s="210">
        <f>IFERROR(W148/V148-1,"-")</f>
        <v>-1.4261550581583959E-2</v>
      </c>
      <c r="Y148" s="210">
        <f>W148/W$8</f>
        <v>2.718934373293376E-2</v>
      </c>
    </row>
    <row r="149" spans="1:25" x14ac:dyDescent="0.25">
      <c r="A149" s="74"/>
      <c r="B149" s="190" t="s">
        <v>99</v>
      </c>
      <c r="C149" s="191">
        <v>5991</v>
      </c>
      <c r="D149" s="191">
        <v>4902</v>
      </c>
      <c r="E149" s="191">
        <v>13125</v>
      </c>
      <c r="F149" s="191">
        <v>13627</v>
      </c>
      <c r="G149" s="191">
        <v>14421</v>
      </c>
      <c r="H149" s="191">
        <v>13228</v>
      </c>
      <c r="I149" s="192">
        <f>IFERROR(H149/G149-1,"-")</f>
        <v>-8.2726579294085001E-2</v>
      </c>
      <c r="J149" s="192">
        <f t="shared" si="111"/>
        <v>2.3485631296183852E-2</v>
      </c>
      <c r="K149" s="191">
        <v>7745</v>
      </c>
      <c r="L149" s="191">
        <v>22645</v>
      </c>
      <c r="M149" s="191">
        <v>30183</v>
      </c>
      <c r="N149" s="191">
        <v>30633</v>
      </c>
      <c r="O149" s="191">
        <v>26091</v>
      </c>
      <c r="P149" s="191">
        <v>25241</v>
      </c>
      <c r="Q149" s="192">
        <f>IFERROR(P149/O149-1,"-")</f>
        <v>-3.2578283699359889E-2</v>
      </c>
      <c r="R149" s="192">
        <f t="shared" si="113"/>
        <v>9.8362776697674646E-3</v>
      </c>
      <c r="S149" s="191">
        <v>13736</v>
      </c>
      <c r="T149" s="191">
        <v>43308</v>
      </c>
      <c r="U149" s="191">
        <v>44260</v>
      </c>
      <c r="V149" s="191">
        <v>40512</v>
      </c>
      <c r="W149" s="191">
        <v>38469</v>
      </c>
      <c r="X149" s="192">
        <f>IFERROR(W149/V149-1,"-")</f>
        <v>-5.0429502369668255E-2</v>
      </c>
      <c r="Y149" s="192">
        <f>W149/W$8</f>
        <v>1.2292964260001515E-2</v>
      </c>
    </row>
    <row r="150" spans="1:25" x14ac:dyDescent="0.25">
      <c r="A150" s="74"/>
      <c r="B150" s="194" t="s">
        <v>105</v>
      </c>
      <c r="C150" s="195">
        <v>1740</v>
      </c>
      <c r="D150" s="195">
        <v>2133</v>
      </c>
      <c r="E150" s="195">
        <v>5098</v>
      </c>
      <c r="F150" s="195">
        <v>3977</v>
      </c>
      <c r="G150" s="195">
        <v>4233</v>
      </c>
      <c r="H150" s="195">
        <v>4363</v>
      </c>
      <c r="I150" s="196">
        <f>IFERROR(H150/G150-1,"-")</f>
        <v>3.0711079612568026E-2</v>
      </c>
      <c r="J150" s="196">
        <f t="shared" si="111"/>
        <v>7.7462813233482117E-3</v>
      </c>
      <c r="K150" s="195">
        <v>5766</v>
      </c>
      <c r="L150" s="195">
        <v>19879</v>
      </c>
      <c r="M150" s="195">
        <v>26530</v>
      </c>
      <c r="N150" s="195">
        <v>28721</v>
      </c>
      <c r="O150" s="195">
        <v>23802</v>
      </c>
      <c r="P150" s="195">
        <v>20465</v>
      </c>
      <c r="Q150" s="196">
        <f>IFERROR(P150/O150-1,"-")</f>
        <v>-0.14019830266364175</v>
      </c>
      <c r="R150" s="196">
        <f t="shared" si="113"/>
        <v>7.9750969657220866E-3</v>
      </c>
      <c r="S150" s="195">
        <v>7506</v>
      </c>
      <c r="T150" s="195">
        <v>31628</v>
      </c>
      <c r="U150" s="195">
        <v>32698</v>
      </c>
      <c r="V150" s="195">
        <v>28035</v>
      </c>
      <c r="W150" s="195">
        <v>24828</v>
      </c>
      <c r="X150" s="196">
        <f>IFERROR(W150/V150-1,"-")</f>
        <v>-0.11439272338148743</v>
      </c>
      <c r="Y150" s="196">
        <f>W150/W$8</f>
        <v>7.933913453620255E-3</v>
      </c>
    </row>
    <row r="151" spans="1:25" x14ac:dyDescent="0.25">
      <c r="A151" s="74"/>
      <c r="B151" s="194" t="s">
        <v>102</v>
      </c>
      <c r="C151" s="195">
        <v>4251</v>
      </c>
      <c r="D151" s="195">
        <v>2769</v>
      </c>
      <c r="E151" s="195">
        <v>8027</v>
      </c>
      <c r="F151" s="195">
        <v>9650</v>
      </c>
      <c r="G151" s="195">
        <v>10188</v>
      </c>
      <c r="H151" s="195">
        <v>8865</v>
      </c>
      <c r="I151" s="196">
        <f>IFERROR(H151/G151-1,"-")</f>
        <v>-0.12985865724381629</v>
      </c>
      <c r="J151" s="196">
        <f t="shared" si="111"/>
        <v>1.5739349972835638E-2</v>
      </c>
      <c r="K151" s="195">
        <v>1979</v>
      </c>
      <c r="L151" s="195">
        <v>2766</v>
      </c>
      <c r="M151" s="195">
        <v>3653</v>
      </c>
      <c r="N151" s="195">
        <v>1912</v>
      </c>
      <c r="O151" s="195">
        <v>2289</v>
      </c>
      <c r="P151" s="195">
        <v>4776</v>
      </c>
      <c r="Q151" s="196">
        <f>IFERROR(P151/O151-1,"-")</f>
        <v>1.0865006553079946</v>
      </c>
      <c r="R151" s="196">
        <f t="shared" si="113"/>
        <v>1.8611807040453791E-3</v>
      </c>
      <c r="S151" s="195">
        <v>6230</v>
      </c>
      <c r="T151" s="195">
        <v>11680</v>
      </c>
      <c r="U151" s="195">
        <v>11562</v>
      </c>
      <c r="V151" s="195">
        <v>12477</v>
      </c>
      <c r="W151" s="195">
        <v>13641</v>
      </c>
      <c r="X151" s="196">
        <f>IFERROR(W151/V151-1,"-")</f>
        <v>9.329165664823269E-2</v>
      </c>
      <c r="Y151" s="196">
        <f>W151/W$8</f>
        <v>4.3590508063812592E-3</v>
      </c>
    </row>
    <row r="152" spans="1:25" x14ac:dyDescent="0.25">
      <c r="A152" s="74"/>
      <c r="B152" s="190" t="s">
        <v>109</v>
      </c>
      <c r="C152" s="191">
        <v>2641</v>
      </c>
      <c r="D152" s="191">
        <v>3465</v>
      </c>
      <c r="E152" s="191">
        <v>8302</v>
      </c>
      <c r="F152" s="191">
        <v>7819</v>
      </c>
      <c r="G152" s="191">
        <v>11667</v>
      </c>
      <c r="H152" s="191">
        <v>12290</v>
      </c>
      <c r="I152" s="192">
        <f>IFERROR(H152/G152-1,"-")</f>
        <v>5.3398474329304779E-2</v>
      </c>
      <c r="J152" s="192">
        <f t="shared" si="111"/>
        <v>2.1820260706841513E-2</v>
      </c>
      <c r="K152" s="191">
        <v>14050</v>
      </c>
      <c r="L152" s="191">
        <v>11511</v>
      </c>
      <c r="M152" s="191">
        <v>27381</v>
      </c>
      <c r="N152" s="191">
        <v>30919</v>
      </c>
      <c r="O152" s="191">
        <v>34137</v>
      </c>
      <c r="P152" s="191">
        <v>34326</v>
      </c>
      <c r="Q152" s="192">
        <f>IFERROR(P152/O152-1,"-")</f>
        <v>5.5365146322172709E-3</v>
      </c>
      <c r="R152" s="192">
        <f t="shared" si="113"/>
        <v>1.3376651768647756E-2</v>
      </c>
      <c r="S152" s="191">
        <v>16691</v>
      </c>
      <c r="T152" s="191">
        <v>35683</v>
      </c>
      <c r="U152" s="191">
        <v>38738</v>
      </c>
      <c r="V152" s="191">
        <v>45804</v>
      </c>
      <c r="W152" s="191">
        <v>46616</v>
      </c>
      <c r="X152" s="192">
        <f>IFERROR(W152/V152-1,"-")</f>
        <v>1.7727709370360722E-2</v>
      </c>
      <c r="Y152" s="192">
        <f>W152/W$8</f>
        <v>1.4896379472932247E-2</v>
      </c>
    </row>
    <row r="153" spans="1:25" s="74" customFormat="1" x14ac:dyDescent="0.25">
      <c r="B153" s="194" t="s">
        <v>112</v>
      </c>
      <c r="C153" s="195">
        <v>311</v>
      </c>
      <c r="D153" s="195">
        <v>175</v>
      </c>
      <c r="E153" s="195">
        <v>698</v>
      </c>
      <c r="F153" s="195">
        <v>616</v>
      </c>
      <c r="G153" s="195">
        <v>971</v>
      </c>
      <c r="H153" s="195">
        <v>1043</v>
      </c>
      <c r="I153" s="196">
        <f t="shared" ref="I153:I160" si="114">IFERROR(H153/G153-1,"-")</f>
        <v>7.4150360453141051E-2</v>
      </c>
      <c r="J153" s="196">
        <f t="shared" si="111"/>
        <v>1.8517926702388689E-3</v>
      </c>
      <c r="K153" s="195">
        <v>4660</v>
      </c>
      <c r="L153" s="195">
        <v>1210</v>
      </c>
      <c r="M153" s="195">
        <v>12864</v>
      </c>
      <c r="N153" s="195">
        <v>12603</v>
      </c>
      <c r="O153" s="195">
        <v>13869</v>
      </c>
      <c r="P153" s="195">
        <v>12031</v>
      </c>
      <c r="Q153" s="196">
        <f t="shared" ref="Q153:Q160" si="115">IFERROR(P153/O153-1,"-")</f>
        <v>-0.13252577691253875</v>
      </c>
      <c r="R153" s="196">
        <f t="shared" si="113"/>
        <v>4.6884139552700911E-3</v>
      </c>
      <c r="S153" s="195">
        <v>4971</v>
      </c>
      <c r="T153" s="195">
        <v>13562</v>
      </c>
      <c r="U153" s="195">
        <v>13219</v>
      </c>
      <c r="V153" s="195">
        <v>14840</v>
      </c>
      <c r="W153" s="195">
        <v>13074</v>
      </c>
      <c r="X153" s="196">
        <f t="shared" ref="X153:X160" si="116">IFERROR(W153/V153-1,"-")</f>
        <v>-0.11900269541778974</v>
      </c>
      <c r="Y153" s="196">
        <f t="shared" ref="Y153:Y160" si="117">W153/W$8</f>
        <v>4.1778630776796851E-3</v>
      </c>
    </row>
    <row r="154" spans="1:25" s="74" customFormat="1" x14ac:dyDescent="0.25">
      <c r="B154" s="194" t="s">
        <v>115</v>
      </c>
      <c r="C154" s="195">
        <v>480</v>
      </c>
      <c r="D154" s="195">
        <v>516</v>
      </c>
      <c r="E154" s="195">
        <v>1474</v>
      </c>
      <c r="F154" s="195">
        <v>1521</v>
      </c>
      <c r="G154" s="195">
        <v>1948</v>
      </c>
      <c r="H154" s="195">
        <v>1957</v>
      </c>
      <c r="I154" s="196">
        <f t="shared" si="114"/>
        <v>4.62012320328542E-3</v>
      </c>
      <c r="J154" s="196">
        <f t="shared" si="111"/>
        <v>3.474552498233429E-3</v>
      </c>
      <c r="K154" s="195">
        <v>3595</v>
      </c>
      <c r="L154" s="195">
        <v>2464</v>
      </c>
      <c r="M154" s="195">
        <v>5112</v>
      </c>
      <c r="N154" s="195">
        <v>5253</v>
      </c>
      <c r="O154" s="195">
        <v>4711</v>
      </c>
      <c r="P154" s="195">
        <v>4767</v>
      </c>
      <c r="Q154" s="196">
        <f t="shared" si="115"/>
        <v>1.1887072808320909E-2</v>
      </c>
      <c r="R154" s="196">
        <f t="shared" si="113"/>
        <v>1.8576734539749418E-3</v>
      </c>
      <c r="S154" s="195">
        <v>4075</v>
      </c>
      <c r="T154" s="195">
        <v>6586</v>
      </c>
      <c r="U154" s="195">
        <v>6774</v>
      </c>
      <c r="V154" s="195">
        <v>6659</v>
      </c>
      <c r="W154" s="195">
        <v>6724</v>
      </c>
      <c r="X154" s="196">
        <f t="shared" si="116"/>
        <v>9.7612254092205308E-3</v>
      </c>
      <c r="Y154" s="196">
        <f t="shared" si="117"/>
        <v>2.1486883382528838E-3</v>
      </c>
    </row>
    <row r="155" spans="1:25" x14ac:dyDescent="0.25">
      <c r="A155" s="74"/>
      <c r="B155" s="194" t="s">
        <v>118</v>
      </c>
      <c r="C155" s="195">
        <v>370</v>
      </c>
      <c r="D155" s="195">
        <v>793</v>
      </c>
      <c r="E155" s="195">
        <v>1596</v>
      </c>
      <c r="F155" s="195">
        <v>1418</v>
      </c>
      <c r="G155" s="195">
        <v>2068</v>
      </c>
      <c r="H155" s="195">
        <v>2202</v>
      </c>
      <c r="I155" s="196">
        <f t="shared" si="114"/>
        <v>6.4796905222437085E-2</v>
      </c>
      <c r="J155" s="196">
        <f t="shared" si="111"/>
        <v>3.9095373536586668E-3</v>
      </c>
      <c r="K155" s="195">
        <v>1571</v>
      </c>
      <c r="L155" s="195">
        <v>2729</v>
      </c>
      <c r="M155" s="195">
        <v>2902</v>
      </c>
      <c r="N155" s="195">
        <v>4963</v>
      </c>
      <c r="O155" s="195">
        <v>6023</v>
      </c>
      <c r="P155" s="195">
        <v>9618</v>
      </c>
      <c r="Q155" s="196">
        <f t="shared" si="115"/>
        <v>0.59687863191100776</v>
      </c>
      <c r="R155" s="196">
        <f t="shared" si="113"/>
        <v>3.7480812419406315E-3</v>
      </c>
      <c r="S155" s="195">
        <v>1941</v>
      </c>
      <c r="T155" s="195">
        <v>4498</v>
      </c>
      <c r="U155" s="195">
        <v>6381</v>
      </c>
      <c r="V155" s="195">
        <v>8091</v>
      </c>
      <c r="W155" s="195">
        <v>11820</v>
      </c>
      <c r="X155" s="196">
        <f t="shared" si="116"/>
        <v>0.46088246199480909</v>
      </c>
      <c r="Y155" s="196">
        <f t="shared" si="117"/>
        <v>3.777141011027526E-3</v>
      </c>
    </row>
    <row r="156" spans="1:25" x14ac:dyDescent="0.25">
      <c r="A156" s="74"/>
      <c r="B156" s="194" t="s">
        <v>125</v>
      </c>
      <c r="C156" s="195">
        <v>223</v>
      </c>
      <c r="D156" s="195">
        <v>142</v>
      </c>
      <c r="E156" s="195">
        <v>503</v>
      </c>
      <c r="F156" s="195">
        <v>410</v>
      </c>
      <c r="G156" s="195">
        <v>589</v>
      </c>
      <c r="H156" s="195">
        <v>689</v>
      </c>
      <c r="I156" s="196">
        <f t="shared" si="114"/>
        <v>0.16977928692699495</v>
      </c>
      <c r="J156" s="196">
        <f t="shared" si="111"/>
        <v>1.2232839403591377E-3</v>
      </c>
      <c r="K156" s="195">
        <v>315</v>
      </c>
      <c r="L156" s="195">
        <v>319</v>
      </c>
      <c r="M156" s="195">
        <v>570</v>
      </c>
      <c r="N156" s="195">
        <v>571</v>
      </c>
      <c r="O156" s="195">
        <v>717</v>
      </c>
      <c r="P156" s="195">
        <v>651</v>
      </c>
      <c r="Q156" s="196">
        <f t="shared" si="115"/>
        <v>-9.2050209205020939E-2</v>
      </c>
      <c r="R156" s="196">
        <f t="shared" si="113"/>
        <v>2.5369108842829605E-4</v>
      </c>
      <c r="S156" s="195">
        <v>538</v>
      </c>
      <c r="T156" s="195">
        <v>1073</v>
      </c>
      <c r="U156" s="195">
        <v>981</v>
      </c>
      <c r="V156" s="195">
        <v>1306</v>
      </c>
      <c r="W156" s="195">
        <v>1340</v>
      </c>
      <c r="X156" s="196">
        <f t="shared" si="116"/>
        <v>2.6033690658499253E-2</v>
      </c>
      <c r="Y156" s="196">
        <f t="shared" si="117"/>
        <v>4.2820380328061633E-4</v>
      </c>
    </row>
    <row r="157" spans="1:25" x14ac:dyDescent="0.25">
      <c r="A157" s="74"/>
      <c r="B157" s="194" t="s">
        <v>121</v>
      </c>
      <c r="C157" s="195">
        <v>156</v>
      </c>
      <c r="D157" s="195">
        <v>172</v>
      </c>
      <c r="E157" s="195">
        <v>384</v>
      </c>
      <c r="F157" s="195">
        <v>346</v>
      </c>
      <c r="G157" s="195">
        <v>485</v>
      </c>
      <c r="H157" s="195">
        <v>533</v>
      </c>
      <c r="I157" s="196">
        <f t="shared" si="114"/>
        <v>9.8969072164948546E-2</v>
      </c>
      <c r="J157" s="196">
        <f t="shared" si="111"/>
        <v>9.4631399159857826E-4</v>
      </c>
      <c r="K157" s="195">
        <v>893</v>
      </c>
      <c r="L157" s="195">
        <v>906</v>
      </c>
      <c r="M157" s="195">
        <v>1904</v>
      </c>
      <c r="N157" s="195">
        <v>1715</v>
      </c>
      <c r="O157" s="195">
        <v>2050</v>
      </c>
      <c r="P157" s="195">
        <v>1313</v>
      </c>
      <c r="Q157" s="196">
        <f t="shared" si="115"/>
        <v>-0.35951219512195121</v>
      </c>
      <c r="R157" s="196">
        <f t="shared" si="113"/>
        <v>5.1166881583157098E-4</v>
      </c>
      <c r="S157" s="195">
        <v>1049</v>
      </c>
      <c r="T157" s="195">
        <v>2288</v>
      </c>
      <c r="U157" s="195">
        <v>2061</v>
      </c>
      <c r="V157" s="195">
        <v>2535</v>
      </c>
      <c r="W157" s="195">
        <v>1846</v>
      </c>
      <c r="X157" s="196">
        <f t="shared" si="116"/>
        <v>-0.27179487179487183</v>
      </c>
      <c r="Y157" s="196">
        <f t="shared" si="117"/>
        <v>5.8989867228061025E-4</v>
      </c>
    </row>
    <row r="158" spans="1:25" x14ac:dyDescent="0.25">
      <c r="A158" s="74"/>
      <c r="B158" s="194" t="s">
        <v>130</v>
      </c>
      <c r="C158" s="195">
        <v>46</v>
      </c>
      <c r="D158" s="195">
        <v>23</v>
      </c>
      <c r="E158" s="195">
        <v>82</v>
      </c>
      <c r="F158" s="195">
        <v>78</v>
      </c>
      <c r="G158" s="195">
        <v>74</v>
      </c>
      <c r="H158" s="195">
        <v>54</v>
      </c>
      <c r="I158" s="196">
        <f t="shared" si="114"/>
        <v>-0.27027027027027029</v>
      </c>
      <c r="J158" s="196">
        <f t="shared" si="111"/>
        <v>9.5874213032501359E-5</v>
      </c>
      <c r="K158" s="195">
        <v>171</v>
      </c>
      <c r="L158" s="195">
        <v>20</v>
      </c>
      <c r="M158" s="195">
        <v>195</v>
      </c>
      <c r="N158" s="195">
        <v>189</v>
      </c>
      <c r="O158" s="195">
        <v>211</v>
      </c>
      <c r="P158" s="195">
        <v>157</v>
      </c>
      <c r="Q158" s="196">
        <f t="shared" si="115"/>
        <v>-0.25592417061611372</v>
      </c>
      <c r="R158" s="196">
        <f t="shared" si="113"/>
        <v>6.1182029006516859E-5</v>
      </c>
      <c r="S158" s="195">
        <v>217</v>
      </c>
      <c r="T158" s="195">
        <v>277</v>
      </c>
      <c r="U158" s="195">
        <v>267</v>
      </c>
      <c r="V158" s="195">
        <v>285</v>
      </c>
      <c r="W158" s="195">
        <v>211</v>
      </c>
      <c r="X158" s="196">
        <f t="shared" si="116"/>
        <v>-0.25964912280701757</v>
      </c>
      <c r="Y158" s="196">
        <f t="shared" si="117"/>
        <v>6.7426121262843314E-5</v>
      </c>
    </row>
    <row r="159" spans="1:25" x14ac:dyDescent="0.25">
      <c r="A159" s="74"/>
      <c r="B159" s="194" t="s">
        <v>133</v>
      </c>
      <c r="C159" s="195">
        <v>56</v>
      </c>
      <c r="D159" s="195">
        <v>34</v>
      </c>
      <c r="E159" s="195">
        <v>65</v>
      </c>
      <c r="F159" s="195">
        <v>54</v>
      </c>
      <c r="G159" s="195">
        <v>51</v>
      </c>
      <c r="H159" s="195">
        <v>68</v>
      </c>
      <c r="I159" s="196">
        <f t="shared" si="114"/>
        <v>0.33333333333333326</v>
      </c>
      <c r="J159" s="196">
        <f t="shared" si="111"/>
        <v>1.2073049048537208E-4</v>
      </c>
      <c r="K159" s="195">
        <v>221</v>
      </c>
      <c r="L159" s="195">
        <v>45</v>
      </c>
      <c r="M159" s="195">
        <v>338</v>
      </c>
      <c r="N159" s="195">
        <v>486</v>
      </c>
      <c r="O159" s="195">
        <v>345</v>
      </c>
      <c r="P159" s="195">
        <v>217</v>
      </c>
      <c r="Q159" s="196">
        <f t="shared" si="115"/>
        <v>-0.37101449275362319</v>
      </c>
      <c r="R159" s="196">
        <f t="shared" si="113"/>
        <v>8.4563696142765337E-5</v>
      </c>
      <c r="S159" s="195">
        <v>277</v>
      </c>
      <c r="T159" s="195">
        <v>403</v>
      </c>
      <c r="U159" s="195">
        <v>540</v>
      </c>
      <c r="V159" s="195">
        <v>396</v>
      </c>
      <c r="W159" s="195">
        <v>285</v>
      </c>
      <c r="X159" s="196">
        <f t="shared" si="116"/>
        <v>-0.28030303030303028</v>
      </c>
      <c r="Y159" s="196">
        <f t="shared" si="117"/>
        <v>9.1073196966399747E-5</v>
      </c>
    </row>
    <row r="160" spans="1:25" x14ac:dyDescent="0.25">
      <c r="A160" s="74"/>
      <c r="B160" s="199" t="s">
        <v>147</v>
      </c>
      <c r="C160" s="200">
        <f t="shared" ref="C160" si="118">C152-SUM(C153:C159)</f>
        <v>999</v>
      </c>
      <c r="D160" s="200">
        <f t="shared" ref="D160:H160" si="119">D152-SUM(D153:D159)</f>
        <v>1610</v>
      </c>
      <c r="E160" s="200">
        <f t="shared" si="119"/>
        <v>3500</v>
      </c>
      <c r="F160" s="200">
        <f t="shared" si="119"/>
        <v>3376</v>
      </c>
      <c r="G160" s="200">
        <f t="shared" si="119"/>
        <v>5481</v>
      </c>
      <c r="H160" s="200">
        <f t="shared" si="119"/>
        <v>5744</v>
      </c>
      <c r="I160" s="201">
        <f t="shared" si="114"/>
        <v>4.7983944535668677E-2</v>
      </c>
      <c r="J160" s="201">
        <f t="shared" si="111"/>
        <v>1.019817554923496E-2</v>
      </c>
      <c r="K160" s="200">
        <f t="shared" ref="K160:P160" si="120">K152-SUM(K153:K159)</f>
        <v>2624</v>
      </c>
      <c r="L160" s="200">
        <f t="shared" si="120"/>
        <v>3818</v>
      </c>
      <c r="M160" s="200">
        <f t="shared" si="120"/>
        <v>3496</v>
      </c>
      <c r="N160" s="200">
        <f t="shared" si="120"/>
        <v>5139</v>
      </c>
      <c r="O160" s="200">
        <f t="shared" si="120"/>
        <v>6211</v>
      </c>
      <c r="P160" s="200">
        <f t="shared" si="120"/>
        <v>5572</v>
      </c>
      <c r="Q160" s="201">
        <f t="shared" si="115"/>
        <v>-0.10288198357752376</v>
      </c>
      <c r="R160" s="201">
        <f t="shared" si="113"/>
        <v>2.1713774880529422E-3</v>
      </c>
      <c r="S160" s="200">
        <f>S152-SUM(S153:S159)</f>
        <v>3623</v>
      </c>
      <c r="T160" s="200">
        <f>T152-SUM(T153:T159)</f>
        <v>6996</v>
      </c>
      <c r="U160" s="200">
        <f>U152-SUM(U153:U159)</f>
        <v>8515</v>
      </c>
      <c r="V160" s="200">
        <f>V152-SUM(V153:V159)</f>
        <v>11692</v>
      </c>
      <c r="W160" s="200">
        <f>W152-SUM(W153:W159)</f>
        <v>11316</v>
      </c>
      <c r="X160" s="201">
        <f t="shared" si="116"/>
        <v>-3.2158741019500559E-2</v>
      </c>
      <c r="Y160" s="201">
        <f t="shared" si="117"/>
        <v>3.6160852521816824E-3</v>
      </c>
    </row>
    <row r="161" spans="1:25" ht="6" customHeight="1" x14ac:dyDescent="0.25">
      <c r="A161" s="74"/>
      <c r="C161" s="103"/>
      <c r="D161" s="103"/>
      <c r="E161" s="103"/>
      <c r="F161" s="103"/>
      <c r="G161" s="103"/>
      <c r="H161" s="103"/>
      <c r="I161" s="103"/>
      <c r="K161" s="103"/>
      <c r="L161" s="103"/>
      <c r="M161" s="103"/>
      <c r="N161" s="103"/>
      <c r="O161" s="103"/>
      <c r="P161" s="103"/>
      <c r="Q161" s="103"/>
      <c r="S161" s="103"/>
      <c r="T161" s="103"/>
      <c r="U161" s="103"/>
      <c r="V161" s="103"/>
      <c r="W161" s="103"/>
      <c r="X161" s="103"/>
    </row>
    <row r="162" spans="1:25" ht="6" customHeight="1" x14ac:dyDescent="0.25">
      <c r="A162" s="74"/>
      <c r="B162" s="202"/>
      <c r="C162" s="202"/>
      <c r="D162" s="202"/>
      <c r="E162" s="202"/>
      <c r="F162" s="202"/>
      <c r="G162" s="202"/>
      <c r="H162" s="202"/>
      <c r="I162" s="202"/>
      <c r="J162" s="202"/>
      <c r="K162" s="202"/>
      <c r="L162" s="202"/>
      <c r="M162" s="202"/>
      <c r="N162" s="202"/>
      <c r="O162" s="202"/>
      <c r="P162" s="202"/>
      <c r="Q162" s="202"/>
      <c r="R162" s="202"/>
      <c r="S162" s="202"/>
      <c r="T162" s="202"/>
      <c r="U162" s="202"/>
      <c r="V162" s="202"/>
      <c r="W162" s="202"/>
      <c r="X162" s="202"/>
      <c r="Y162" s="202"/>
    </row>
    <row r="163" spans="1:25" x14ac:dyDescent="0.25">
      <c r="B163" s="131" t="s">
        <v>57</v>
      </c>
      <c r="C163" s="131"/>
      <c r="D163" s="131"/>
      <c r="E163" s="131"/>
      <c r="F163" s="131"/>
      <c r="G163" s="131"/>
      <c r="H163" s="131"/>
      <c r="I163" s="131"/>
      <c r="J163" s="131"/>
      <c r="K163" s="131"/>
      <c r="L163" s="131"/>
      <c r="M163" s="131"/>
      <c r="N163" s="131"/>
      <c r="O163" s="131"/>
      <c r="P163" s="131"/>
      <c r="Q163" s="131"/>
      <c r="R163" s="131"/>
      <c r="S163" s="131"/>
      <c r="T163" s="131"/>
      <c r="U163" s="131"/>
      <c r="V163" s="131"/>
      <c r="W163" s="131"/>
      <c r="X163" s="131"/>
      <c r="Y163" s="131"/>
    </row>
  </sheetData>
  <mergeCells count="3">
    <mergeCell ref="C5:J5"/>
    <mergeCell ref="K5:R5"/>
    <mergeCell ref="S5:Y5"/>
  </mergeCells>
  <pageMargins left="0.25" right="0.25" top="0.75" bottom="0.75" header="0.3" footer="0.3"/>
  <pageSetup paperSize="9" scale="2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3ACAB-F83B-4939-B89B-22D87EB63386}">
  <sheetPr>
    <tabColor theme="7" tint="0.79998168889431442"/>
    <pageSetUpPr fitToPage="1"/>
  </sheetPr>
  <dimension ref="A1:Z164"/>
  <sheetViews>
    <sheetView showGridLines="0" workbookViewId="0">
      <selection activeCell="G10" sqref="G10"/>
    </sheetView>
  </sheetViews>
  <sheetFormatPr baseColWidth="10" defaultRowHeight="15" x14ac:dyDescent="0.25"/>
  <cols>
    <col min="1" max="1" width="15.5703125" customWidth="1"/>
    <col min="2" max="2" width="30.140625" customWidth="1"/>
    <col min="3" max="26" width="10.5703125" customWidth="1"/>
  </cols>
  <sheetData>
    <row r="1" spans="1:26" ht="42.75" customHeight="1" x14ac:dyDescent="0.25"/>
    <row r="4" spans="1:26" ht="42" customHeight="1" thickBot="1" x14ac:dyDescent="0.3">
      <c r="B4" s="85" t="str">
        <f>CONCATENATE("Viajeros entrados en los establecimientos hoteleros de Tenerife según lugar de residencia, categoría y municipio del alojamiento")</f>
        <v>Viajeros entrados en los establecimientos hoteleros de Tenerife según lugar de residencia, categoría y municipio del alojamiento</v>
      </c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</row>
    <row r="5" spans="1:26" ht="6" customHeight="1" x14ac:dyDescent="0.25"/>
    <row r="6" spans="1:26" ht="15.75" x14ac:dyDescent="0.25">
      <c r="B6" s="217"/>
      <c r="C6" s="203" t="s">
        <v>64</v>
      </c>
      <c r="D6" s="204"/>
      <c r="E6" s="204"/>
      <c r="F6" s="204"/>
      <c r="G6" s="204"/>
      <c r="H6" s="204"/>
      <c r="I6" s="204"/>
      <c r="J6" s="204"/>
      <c r="K6" s="203" t="s">
        <v>63</v>
      </c>
      <c r="L6" s="204"/>
      <c r="M6" s="204"/>
      <c r="N6" s="204"/>
      <c r="O6" s="204"/>
      <c r="P6" s="204"/>
      <c r="Q6" s="204"/>
      <c r="R6" s="204"/>
      <c r="S6" s="203" t="s">
        <v>139</v>
      </c>
      <c r="T6" s="204"/>
      <c r="U6" s="204"/>
      <c r="V6" s="204"/>
      <c r="W6" s="204"/>
      <c r="X6" s="204"/>
      <c r="Y6" s="204"/>
      <c r="Z6" s="204"/>
    </row>
    <row r="7" spans="1:26" s="177" customFormat="1" ht="72" customHeight="1" x14ac:dyDescent="0.25">
      <c r="B7" s="178"/>
      <c r="C7" s="218">
        <f>D7-1</f>
        <v>2020</v>
      </c>
      <c r="D7" s="218">
        <f>E7-1</f>
        <v>2021</v>
      </c>
      <c r="E7" s="218">
        <f>F7-1</f>
        <v>2022</v>
      </c>
      <c r="F7" s="218">
        <f>G7-1</f>
        <v>2023</v>
      </c>
      <c r="G7" s="218">
        <v>2024</v>
      </c>
      <c r="H7" s="206" t="str">
        <f>CONCATENATE("var. ",RIGHT(G7,2),"/",RIGHT(F7,2))</f>
        <v>var. 24/23</v>
      </c>
      <c r="I7" s="206" t="str">
        <f>CONCATENATE("var. ",RIGHT(G7,2),"/",RIGHT(C7,2))</f>
        <v>var. 24/20</v>
      </c>
      <c r="J7" s="206" t="str">
        <f>CONCATENATE("Cuota s/ total lugares de residencia ",RIGHT(G7,4))</f>
        <v>Cuota s/ total lugares de residencia 2024</v>
      </c>
      <c r="K7" s="218">
        <f>L7-1</f>
        <v>2020</v>
      </c>
      <c r="L7" s="218">
        <f>M7-1</f>
        <v>2021</v>
      </c>
      <c r="M7" s="218">
        <f>N7-1</f>
        <v>2022</v>
      </c>
      <c r="N7" s="218">
        <f>O7-1</f>
        <v>2023</v>
      </c>
      <c r="O7" s="218">
        <v>2024</v>
      </c>
      <c r="P7" s="206" t="str">
        <f>CONCATENATE("var. ",RIGHT(O7,2),"/",RIGHT(N7,2))</f>
        <v>var. 24/23</v>
      </c>
      <c r="Q7" s="206" t="str">
        <f>CONCATENATE("var. ",RIGHT(O7,2),"/",RIGHT(K7,2))</f>
        <v>var. 24/20</v>
      </c>
      <c r="R7" s="206" t="str">
        <f>CONCATENATE("Cuota s/ total lugares de residencia ",RIGHT(O7,4))</f>
        <v>Cuota s/ total lugares de residencia 2024</v>
      </c>
      <c r="S7" s="218">
        <f>T7-1</f>
        <v>2020</v>
      </c>
      <c r="T7" s="218">
        <f>U7-1</f>
        <v>2021</v>
      </c>
      <c r="U7" s="218">
        <f>V7-1</f>
        <v>2022</v>
      </c>
      <c r="V7" s="218">
        <f>W7-1</f>
        <v>2023</v>
      </c>
      <c r="W7" s="218">
        <v>2024</v>
      </c>
      <c r="X7" s="206" t="str">
        <f>CONCATENATE("var. ",RIGHT(W7,2),"/",RIGHT(V7,2))</f>
        <v>var. 24/23</v>
      </c>
      <c r="Y7" s="206" t="str">
        <f>CONCATENATE("var. ",RIGHT(W7,2),"/",RIGHT(S7,2))</f>
        <v>var. 24/20</v>
      </c>
      <c r="Z7" s="206" t="str">
        <f>CONCATENATE("Cuota s/ total lugares de residencia ",RIGHT(U7,4))</f>
        <v>Cuota s/ total lugares de residencia 2022</v>
      </c>
    </row>
    <row r="8" spans="1:26" x14ac:dyDescent="0.25">
      <c r="A8" s="1"/>
      <c r="B8" s="183" t="s">
        <v>45</v>
      </c>
      <c r="C8" s="184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</row>
    <row r="9" spans="1:26" x14ac:dyDescent="0.25">
      <c r="A9" s="1" t="s">
        <v>0</v>
      </c>
      <c r="B9" s="187" t="s">
        <v>70</v>
      </c>
      <c r="C9" s="209">
        <f>C10+C13</f>
        <v>244233</v>
      </c>
      <c r="D9" s="209">
        <f>D10+D13</f>
        <v>332855</v>
      </c>
      <c r="E9" s="209">
        <f>E10+E13</f>
        <v>672483</v>
      </c>
      <c r="F9" s="209">
        <f>F10+F13</f>
        <v>738404</v>
      </c>
      <c r="G9" s="209">
        <f>G10+G13</f>
        <v>758810</v>
      </c>
      <c r="H9" s="210">
        <f>IFERROR(G9/F9-1,"-")</f>
        <v>2.763527824876344E-2</v>
      </c>
      <c r="I9" s="210">
        <f>IFERROR(G9/C9-1,"-")</f>
        <v>2.1069102045997061</v>
      </c>
      <c r="J9" s="210">
        <f>G9/G$9</f>
        <v>1</v>
      </c>
      <c r="K9" s="209">
        <f>K10+K13</f>
        <v>956053</v>
      </c>
      <c r="L9" s="209">
        <f>L10+L13</f>
        <v>1525176</v>
      </c>
      <c r="M9" s="209">
        <f>M10+M13</f>
        <v>3104390</v>
      </c>
      <c r="N9" s="209">
        <f>N10+N13</f>
        <v>3350154</v>
      </c>
      <c r="O9" s="209">
        <f>O10+O13</f>
        <v>3520830</v>
      </c>
      <c r="P9" s="210">
        <f>IFERROR(O9/N9-1,"-")</f>
        <v>5.0945717719245165E-2</v>
      </c>
      <c r="Q9" s="210">
        <f>IFERROR(O9/K9-1,"-")</f>
        <v>2.6826724041449586</v>
      </c>
      <c r="R9" s="210">
        <f>O9/O$9</f>
        <v>1</v>
      </c>
      <c r="S9" s="209">
        <f>S10+S13</f>
        <v>1200286</v>
      </c>
      <c r="T9" s="209">
        <f>T10+T13</f>
        <v>1858031</v>
      </c>
      <c r="U9" s="209">
        <f>U10+U13</f>
        <v>3776873</v>
      </c>
      <c r="V9" s="209">
        <f>V10+V13</f>
        <v>4088558</v>
      </c>
      <c r="W9" s="209">
        <f>W10+W13</f>
        <v>4279640</v>
      </c>
      <c r="X9" s="210">
        <f>IFERROR(W9/V9-1,"-")</f>
        <v>4.6735792912806939E-2</v>
      </c>
      <c r="Y9" s="210">
        <f>IFERROR(W9/S9-1,"-")</f>
        <v>2.5655168851423742</v>
      </c>
      <c r="Z9" s="210">
        <f t="shared" ref="Z9:Z21" si="0">U9/U$9</f>
        <v>1</v>
      </c>
    </row>
    <row r="10" spans="1:26" x14ac:dyDescent="0.25">
      <c r="A10" s="1" t="s">
        <v>98</v>
      </c>
      <c r="B10" s="190" t="s">
        <v>99</v>
      </c>
      <c r="C10" s="191">
        <v>79595</v>
      </c>
      <c r="D10" s="191">
        <v>119848</v>
      </c>
      <c r="E10" s="191">
        <v>173672</v>
      </c>
      <c r="F10" s="191">
        <v>206738</v>
      </c>
      <c r="G10" s="191">
        <v>212287</v>
      </c>
      <c r="H10" s="192">
        <f>IFERROR(G10/F10-1,"-")</f>
        <v>2.684073561706124E-2</v>
      </c>
      <c r="I10" s="211">
        <f t="shared" ref="I10:I73" si="1">IFERROR(G10/C10-1,"-")</f>
        <v>1.6670896413091274</v>
      </c>
      <c r="J10" s="192">
        <f>G10/G$9</f>
        <v>0.27976305003887664</v>
      </c>
      <c r="K10" s="191">
        <v>297299</v>
      </c>
      <c r="L10" s="191">
        <v>549418</v>
      </c>
      <c r="M10" s="191">
        <v>688398</v>
      </c>
      <c r="N10" s="191">
        <v>674557</v>
      </c>
      <c r="O10" s="191">
        <v>676316</v>
      </c>
      <c r="P10" s="192">
        <f>IFERROR(O10/N10-1,"-")</f>
        <v>2.6076373086336702E-3</v>
      </c>
      <c r="Q10" s="211">
        <f t="shared" ref="Q10:Q21" si="2">IFERROR(O10/K10-1,"-")</f>
        <v>1.2748680621192805</v>
      </c>
      <c r="R10" s="192">
        <f>O10/O$9</f>
        <v>0.19208993333958185</v>
      </c>
      <c r="S10" s="191">
        <v>376894</v>
      </c>
      <c r="T10" s="191">
        <v>669266</v>
      </c>
      <c r="U10" s="191">
        <v>862070</v>
      </c>
      <c r="V10" s="191">
        <v>881295</v>
      </c>
      <c r="W10" s="191">
        <v>888603</v>
      </c>
      <c r="X10" s="192">
        <f>IFERROR(W10/V10-1,"-")</f>
        <v>8.2923425186798294E-3</v>
      </c>
      <c r="Y10" s="211">
        <f t="shared" ref="Y10:Y21" si="3">IFERROR(W10/S10-1,"-")</f>
        <v>1.3577000429829078</v>
      </c>
      <c r="Z10" s="192">
        <f t="shared" si="0"/>
        <v>0.2282496657949579</v>
      </c>
    </row>
    <row r="11" spans="1:26" x14ac:dyDescent="0.25">
      <c r="A11" s="193" t="s">
        <v>105</v>
      </c>
      <c r="B11" s="194" t="s">
        <v>105</v>
      </c>
      <c r="C11" s="195">
        <v>38726</v>
      </c>
      <c r="D11" s="195">
        <v>76913</v>
      </c>
      <c r="E11" s="195">
        <v>97401</v>
      </c>
      <c r="F11" s="195">
        <v>116854</v>
      </c>
      <c r="G11" s="195">
        <v>118239</v>
      </c>
      <c r="H11" s="196">
        <f>IFERROR(G11/F11-1,"-")</f>
        <v>1.1852397008232485E-2</v>
      </c>
      <c r="I11" s="212">
        <f t="shared" si="1"/>
        <v>2.0532200588751741</v>
      </c>
      <c r="J11" s="196">
        <f>G11/G$9</f>
        <v>0.15582161542415096</v>
      </c>
      <c r="K11" s="195">
        <v>112436</v>
      </c>
      <c r="L11" s="195">
        <v>248239</v>
      </c>
      <c r="M11" s="195">
        <v>235468</v>
      </c>
      <c r="N11" s="195">
        <v>223216</v>
      </c>
      <c r="O11" s="195">
        <v>221092</v>
      </c>
      <c r="P11" s="196">
        <f>IFERROR(O11/N11-1,"-")</f>
        <v>-9.5154469213676318E-3</v>
      </c>
      <c r="Q11" s="212">
        <f t="shared" si="2"/>
        <v>0.96638087445302223</v>
      </c>
      <c r="R11" s="196">
        <f>O11/O$9</f>
        <v>6.279542039803114E-2</v>
      </c>
      <c r="S11" s="195">
        <v>151162</v>
      </c>
      <c r="T11" s="195">
        <v>325152</v>
      </c>
      <c r="U11" s="195">
        <v>332869</v>
      </c>
      <c r="V11" s="195">
        <v>340070</v>
      </c>
      <c r="W11" s="195">
        <v>339331</v>
      </c>
      <c r="X11" s="196">
        <f>IFERROR(W11/V11-1,"-")</f>
        <v>-2.1730820125268613E-3</v>
      </c>
      <c r="Y11" s="212">
        <f t="shared" si="3"/>
        <v>1.2448168190418225</v>
      </c>
      <c r="Z11" s="196">
        <f t="shared" si="0"/>
        <v>8.8133490323873742E-2</v>
      </c>
    </row>
    <row r="12" spans="1:26" x14ac:dyDescent="0.25">
      <c r="A12" s="193" t="s">
        <v>102</v>
      </c>
      <c r="B12" s="194" t="s">
        <v>102</v>
      </c>
      <c r="C12" s="195">
        <v>40869</v>
      </c>
      <c r="D12" s="195">
        <v>42935</v>
      </c>
      <c r="E12" s="195">
        <v>76271</v>
      </c>
      <c r="F12" s="195">
        <v>89884</v>
      </c>
      <c r="G12" s="195">
        <v>94048</v>
      </c>
      <c r="H12" s="196">
        <f>IFERROR(G12/F12-1,"-")</f>
        <v>4.6326376218236875E-2</v>
      </c>
      <c r="I12" s="212">
        <f t="shared" si="1"/>
        <v>1.3012062932785242</v>
      </c>
      <c r="J12" s="196">
        <f>G12/G$9</f>
        <v>0.12394143461472569</v>
      </c>
      <c r="K12" s="195">
        <v>184863</v>
      </c>
      <c r="L12" s="195">
        <v>301179</v>
      </c>
      <c r="M12" s="195">
        <v>452930</v>
      </c>
      <c r="N12" s="195">
        <v>451341</v>
      </c>
      <c r="O12" s="195">
        <v>455224</v>
      </c>
      <c r="P12" s="196">
        <f>IFERROR(O12/N12-1,"-")</f>
        <v>8.6032512003120232E-3</v>
      </c>
      <c r="Q12" s="212">
        <f t="shared" si="2"/>
        <v>1.4624938467946533</v>
      </c>
      <c r="R12" s="196">
        <f>O12/O$9</f>
        <v>0.12929451294155073</v>
      </c>
      <c r="S12" s="195">
        <v>225732</v>
      </c>
      <c r="T12" s="195">
        <v>344114</v>
      </c>
      <c r="U12" s="195">
        <v>529201</v>
      </c>
      <c r="V12" s="195">
        <v>541225</v>
      </c>
      <c r="W12" s="195">
        <v>549272</v>
      </c>
      <c r="X12" s="196">
        <f>IFERROR(W12/V12-1,"-")</f>
        <v>1.4868123238948705E-2</v>
      </c>
      <c r="Y12" s="212">
        <f t="shared" si="3"/>
        <v>1.4332925770382579</v>
      </c>
      <c r="Z12" s="196">
        <f t="shared" si="0"/>
        <v>0.14011617547108415</v>
      </c>
    </row>
    <row r="13" spans="1:26" x14ac:dyDescent="0.25">
      <c r="A13" s="1" t="s">
        <v>148</v>
      </c>
      <c r="B13" s="190" t="s">
        <v>109</v>
      </c>
      <c r="C13" s="191">
        <v>164638</v>
      </c>
      <c r="D13" s="191">
        <v>213007</v>
      </c>
      <c r="E13" s="191">
        <v>498811</v>
      </c>
      <c r="F13" s="191">
        <v>531666</v>
      </c>
      <c r="G13" s="191">
        <v>546523</v>
      </c>
      <c r="H13" s="192">
        <f>IFERROR(G13/F13-1,"-")</f>
        <v>2.7944235666753192E-2</v>
      </c>
      <c r="I13" s="211">
        <f t="shared" si="1"/>
        <v>2.3195434832784656</v>
      </c>
      <c r="J13" s="192">
        <f>G13/G$9</f>
        <v>0.72023694996112331</v>
      </c>
      <c r="K13" s="191">
        <v>658754</v>
      </c>
      <c r="L13" s="191">
        <v>975758</v>
      </c>
      <c r="M13" s="191">
        <v>2415992</v>
      </c>
      <c r="N13" s="191">
        <v>2675597</v>
      </c>
      <c r="O13" s="191">
        <v>2844514</v>
      </c>
      <c r="P13" s="192">
        <f>IFERROR(O13/N13-1,"-")</f>
        <v>6.3132452308774401E-2</v>
      </c>
      <c r="Q13" s="211">
        <f t="shared" si="2"/>
        <v>3.3180215983508257</v>
      </c>
      <c r="R13" s="192">
        <f>O13/O$9</f>
        <v>0.80791006666041809</v>
      </c>
      <c r="S13" s="191">
        <v>823392</v>
      </c>
      <c r="T13" s="191">
        <v>1188765</v>
      </c>
      <c r="U13" s="191">
        <v>2914803</v>
      </c>
      <c r="V13" s="191">
        <v>3207263</v>
      </c>
      <c r="W13" s="191">
        <v>3391037</v>
      </c>
      <c r="X13" s="192">
        <f>IFERROR(W13/V13-1,"-")</f>
        <v>5.7299323441825534E-2</v>
      </c>
      <c r="Y13" s="211">
        <f t="shared" si="3"/>
        <v>3.1183749659943256</v>
      </c>
      <c r="Z13" s="192">
        <f t="shared" si="0"/>
        <v>0.77175033420504213</v>
      </c>
    </row>
    <row r="14" spans="1:26" x14ac:dyDescent="0.25">
      <c r="A14" s="193" t="s">
        <v>112</v>
      </c>
      <c r="B14" s="194" t="s">
        <v>112</v>
      </c>
      <c r="C14" s="195">
        <v>55984</v>
      </c>
      <c r="D14" s="195">
        <v>51463</v>
      </c>
      <c r="E14" s="195">
        <v>185404</v>
      </c>
      <c r="F14" s="195">
        <v>205688</v>
      </c>
      <c r="G14" s="195">
        <v>204540</v>
      </c>
      <c r="H14" s="196">
        <f t="shared" ref="H14:H21" si="4">IFERROR(G14/F14-1,"-")</f>
        <v>-5.5812687176695075E-3</v>
      </c>
      <c r="I14" s="212">
        <f t="shared" si="1"/>
        <v>2.6535438696770508</v>
      </c>
      <c r="J14" s="196">
        <f t="shared" ref="J14:J21" si="5">G14/G$9</f>
        <v>0.26955364320449127</v>
      </c>
      <c r="K14" s="195">
        <v>260474</v>
      </c>
      <c r="L14" s="195">
        <v>284717</v>
      </c>
      <c r="M14" s="195">
        <v>1132692</v>
      </c>
      <c r="N14" s="195">
        <v>1254072</v>
      </c>
      <c r="O14" s="195">
        <v>1327265</v>
      </c>
      <c r="P14" s="196">
        <f t="shared" ref="P14:P21" si="6">IFERROR(O14/N14-1,"-")</f>
        <v>5.8364272545754936E-2</v>
      </c>
      <c r="Q14" s="212">
        <f t="shared" si="2"/>
        <v>4.0955757580411101</v>
      </c>
      <c r="R14" s="196">
        <f t="shared" ref="R14:R21" si="7">O14/O$9</f>
        <v>0.37697503145565109</v>
      </c>
      <c r="S14" s="195">
        <v>316458</v>
      </c>
      <c r="T14" s="195">
        <v>336180</v>
      </c>
      <c r="U14" s="195">
        <v>1318096</v>
      </c>
      <c r="V14" s="195">
        <v>1459760</v>
      </c>
      <c r="W14" s="195">
        <v>1531805</v>
      </c>
      <c r="X14" s="196">
        <f t="shared" ref="X14:X21" si="8">IFERROR(W14/V14-1,"-")</f>
        <v>4.9354003397818813E-2</v>
      </c>
      <c r="Y14" s="212">
        <f t="shared" si="3"/>
        <v>3.8404685613888727</v>
      </c>
      <c r="Z14" s="196">
        <f t="shared" si="0"/>
        <v>0.34899134813376037</v>
      </c>
    </row>
    <row r="15" spans="1:26" x14ac:dyDescent="0.25">
      <c r="A15" s="193" t="s">
        <v>115</v>
      </c>
      <c r="B15" s="194" t="s">
        <v>115</v>
      </c>
      <c r="C15" s="195">
        <v>24167</v>
      </c>
      <c r="D15" s="195">
        <v>38221</v>
      </c>
      <c r="E15" s="195">
        <v>64721</v>
      </c>
      <c r="F15" s="195">
        <v>72627</v>
      </c>
      <c r="G15" s="195">
        <v>73563</v>
      </c>
      <c r="H15" s="196">
        <f t="shared" si="4"/>
        <v>1.2887769011524552E-2</v>
      </c>
      <c r="I15" s="212">
        <f t="shared" si="1"/>
        <v>2.0439442214590144</v>
      </c>
      <c r="J15" s="196">
        <f t="shared" si="5"/>
        <v>9.6945216852703575E-2</v>
      </c>
      <c r="K15" s="195">
        <v>92917</v>
      </c>
      <c r="L15" s="195">
        <v>156330</v>
      </c>
      <c r="M15" s="195">
        <v>274306</v>
      </c>
      <c r="N15" s="195">
        <v>309168</v>
      </c>
      <c r="O15" s="195">
        <v>317350</v>
      </c>
      <c r="P15" s="196">
        <f t="shared" si="6"/>
        <v>2.6464575894012299E-2</v>
      </c>
      <c r="Q15" s="212">
        <f t="shared" si="2"/>
        <v>2.4154137563632059</v>
      </c>
      <c r="R15" s="196">
        <f t="shared" si="7"/>
        <v>9.0134996577511547E-2</v>
      </c>
      <c r="S15" s="195">
        <v>117084</v>
      </c>
      <c r="T15" s="195">
        <v>194551</v>
      </c>
      <c r="U15" s="195">
        <v>339027</v>
      </c>
      <c r="V15" s="195">
        <v>381795</v>
      </c>
      <c r="W15" s="195">
        <v>390913</v>
      </c>
      <c r="X15" s="196">
        <f t="shared" si="8"/>
        <v>2.388192616456486E-2</v>
      </c>
      <c r="Y15" s="212">
        <f t="shared" si="3"/>
        <v>2.3387397082436543</v>
      </c>
      <c r="Z15" s="196">
        <f t="shared" si="0"/>
        <v>8.9763939640014376E-2</v>
      </c>
    </row>
    <row r="16" spans="1:26" x14ac:dyDescent="0.25">
      <c r="A16" s="193" t="s">
        <v>118</v>
      </c>
      <c r="B16" s="194" t="s">
        <v>118</v>
      </c>
      <c r="C16" s="195">
        <v>11046</v>
      </c>
      <c r="D16" s="195">
        <v>21498</v>
      </c>
      <c r="E16" s="195">
        <v>31998</v>
      </c>
      <c r="F16" s="195">
        <v>34482</v>
      </c>
      <c r="G16" s="195">
        <v>33626</v>
      </c>
      <c r="H16" s="196">
        <f t="shared" si="4"/>
        <v>-2.4824546140015058E-2</v>
      </c>
      <c r="I16" s="212">
        <f t="shared" si="1"/>
        <v>2.044178888285352</v>
      </c>
      <c r="J16" s="196">
        <f t="shared" si="5"/>
        <v>4.4314123430107669E-2</v>
      </c>
      <c r="K16" s="195">
        <v>37740</v>
      </c>
      <c r="L16" s="195">
        <v>83736</v>
      </c>
      <c r="M16" s="195">
        <v>134432</v>
      </c>
      <c r="N16" s="195">
        <v>142823</v>
      </c>
      <c r="O16" s="195">
        <v>158899</v>
      </c>
      <c r="P16" s="196">
        <f t="shared" si="6"/>
        <v>0.11255890157747706</v>
      </c>
      <c r="Q16" s="212">
        <f t="shared" si="2"/>
        <v>3.2103603603603608</v>
      </c>
      <c r="R16" s="196">
        <f t="shared" si="7"/>
        <v>4.5131119650764169E-2</v>
      </c>
      <c r="S16" s="195">
        <v>48786</v>
      </c>
      <c r="T16" s="195">
        <v>105234</v>
      </c>
      <c r="U16" s="195">
        <v>166430</v>
      </c>
      <c r="V16" s="195">
        <v>177305</v>
      </c>
      <c r="W16" s="195">
        <v>192525</v>
      </c>
      <c r="X16" s="196">
        <f t="shared" si="8"/>
        <v>8.5840782831843487E-2</v>
      </c>
      <c r="Y16" s="212">
        <f t="shared" si="3"/>
        <v>2.9463165662280164</v>
      </c>
      <c r="Z16" s="196">
        <f t="shared" si="0"/>
        <v>4.4065553700111178E-2</v>
      </c>
    </row>
    <row r="17" spans="1:26" x14ac:dyDescent="0.25">
      <c r="A17" s="193" t="s">
        <v>125</v>
      </c>
      <c r="B17" s="194" t="s">
        <v>125</v>
      </c>
      <c r="C17" s="195">
        <v>4317</v>
      </c>
      <c r="D17" s="195">
        <v>10076</v>
      </c>
      <c r="E17" s="195">
        <v>19335</v>
      </c>
      <c r="F17" s="195">
        <v>14809</v>
      </c>
      <c r="G17" s="195">
        <v>14135</v>
      </c>
      <c r="H17" s="196">
        <f t="shared" si="4"/>
        <v>-4.551286379904107E-2</v>
      </c>
      <c r="I17" s="212">
        <f t="shared" si="1"/>
        <v>2.2742645355570996</v>
      </c>
      <c r="J17" s="196">
        <f t="shared" si="5"/>
        <v>1.8627851504329145E-2</v>
      </c>
      <c r="K17" s="195">
        <v>23237</v>
      </c>
      <c r="L17" s="195">
        <v>56946</v>
      </c>
      <c r="M17" s="195">
        <v>104116</v>
      </c>
      <c r="N17" s="195">
        <v>102844</v>
      </c>
      <c r="O17" s="195">
        <v>113442</v>
      </c>
      <c r="P17" s="196">
        <f t="shared" si="6"/>
        <v>0.10304927851892187</v>
      </c>
      <c r="Q17" s="212">
        <f t="shared" si="2"/>
        <v>3.8819555020011185</v>
      </c>
      <c r="R17" s="196">
        <f t="shared" si="7"/>
        <v>3.2220243522124048E-2</v>
      </c>
      <c r="S17" s="195">
        <v>27554</v>
      </c>
      <c r="T17" s="195">
        <v>67022</v>
      </c>
      <c r="U17" s="195">
        <v>123451</v>
      </c>
      <c r="V17" s="195">
        <v>117653</v>
      </c>
      <c r="W17" s="195">
        <v>127577</v>
      </c>
      <c r="X17" s="196">
        <f t="shared" si="8"/>
        <v>8.4349740338112822E-2</v>
      </c>
      <c r="Y17" s="212">
        <f t="shared" si="3"/>
        <v>3.6300718588952599</v>
      </c>
      <c r="Z17" s="196">
        <f t="shared" si="0"/>
        <v>3.2686034187540861E-2</v>
      </c>
    </row>
    <row r="18" spans="1:26" x14ac:dyDescent="0.25">
      <c r="A18" s="193" t="s">
        <v>121</v>
      </c>
      <c r="B18" s="194" t="s">
        <v>121</v>
      </c>
      <c r="C18" s="195">
        <v>5016</v>
      </c>
      <c r="D18" s="195">
        <v>6294</v>
      </c>
      <c r="E18" s="195">
        <v>10411</v>
      </c>
      <c r="F18" s="195">
        <v>10569</v>
      </c>
      <c r="G18" s="195">
        <v>9946</v>
      </c>
      <c r="H18" s="196">
        <f t="shared" si="4"/>
        <v>-5.8945974075125362E-2</v>
      </c>
      <c r="I18" s="212">
        <f t="shared" si="1"/>
        <v>0.98285486443381176</v>
      </c>
      <c r="J18" s="196">
        <f t="shared" si="5"/>
        <v>1.3107365480159724E-2</v>
      </c>
      <c r="K18" s="195">
        <v>43640</v>
      </c>
      <c r="L18" s="195">
        <v>77431</v>
      </c>
      <c r="M18" s="195">
        <v>120097</v>
      </c>
      <c r="N18" s="195">
        <v>123841</v>
      </c>
      <c r="O18" s="195">
        <v>130344</v>
      </c>
      <c r="P18" s="196">
        <f t="shared" si="6"/>
        <v>5.2510880887589817E-2</v>
      </c>
      <c r="Q18" s="212">
        <f t="shared" si="2"/>
        <v>1.986801099908341</v>
      </c>
      <c r="R18" s="196">
        <f t="shared" si="7"/>
        <v>3.702081611438212E-2</v>
      </c>
      <c r="S18" s="195">
        <v>48656</v>
      </c>
      <c r="T18" s="195">
        <v>83725</v>
      </c>
      <c r="U18" s="195">
        <v>130508</v>
      </c>
      <c r="V18" s="195">
        <v>134410</v>
      </c>
      <c r="W18" s="195">
        <v>140290</v>
      </c>
      <c r="X18" s="196">
        <f t="shared" si="8"/>
        <v>4.3746745033851564E-2</v>
      </c>
      <c r="Y18" s="212">
        <f t="shared" si="3"/>
        <v>1.883303189740217</v>
      </c>
      <c r="Z18" s="196">
        <f t="shared" si="0"/>
        <v>3.4554511099525981E-2</v>
      </c>
    </row>
    <row r="19" spans="1:26" x14ac:dyDescent="0.25">
      <c r="A19" s="193" t="s">
        <v>130</v>
      </c>
      <c r="B19" s="194" t="s">
        <v>130</v>
      </c>
      <c r="C19" s="195">
        <v>3325</v>
      </c>
      <c r="D19" s="195">
        <v>2149</v>
      </c>
      <c r="E19" s="195">
        <v>5595</v>
      </c>
      <c r="F19" s="195">
        <v>6021</v>
      </c>
      <c r="G19" s="195">
        <v>5523</v>
      </c>
      <c r="H19" s="196">
        <f t="shared" si="4"/>
        <v>-8.2710513203786751E-2</v>
      </c>
      <c r="I19" s="212">
        <f t="shared" si="1"/>
        <v>0.66105263157894734</v>
      </c>
      <c r="J19" s="196">
        <f t="shared" si="5"/>
        <v>7.2785018647619302E-3</v>
      </c>
      <c r="K19" s="195">
        <v>14961</v>
      </c>
      <c r="L19" s="195">
        <v>12822</v>
      </c>
      <c r="M19" s="195">
        <v>35340</v>
      </c>
      <c r="N19" s="195">
        <v>38436</v>
      </c>
      <c r="O19" s="195">
        <v>36028</v>
      </c>
      <c r="P19" s="196">
        <f t="shared" si="6"/>
        <v>-6.2649599333957751E-2</v>
      </c>
      <c r="Q19" s="212">
        <f t="shared" si="2"/>
        <v>1.4081277989439207</v>
      </c>
      <c r="R19" s="196">
        <f t="shared" si="7"/>
        <v>1.0232814421599453E-2</v>
      </c>
      <c r="S19" s="195">
        <v>18286</v>
      </c>
      <c r="T19" s="195">
        <v>14971</v>
      </c>
      <c r="U19" s="195">
        <v>40935</v>
      </c>
      <c r="V19" s="195">
        <v>44457</v>
      </c>
      <c r="W19" s="195">
        <v>41551</v>
      </c>
      <c r="X19" s="196">
        <f t="shared" si="8"/>
        <v>-6.5366533954157924E-2</v>
      </c>
      <c r="Y19" s="212">
        <f t="shared" si="3"/>
        <v>1.2722848080498741</v>
      </c>
      <c r="Z19" s="196">
        <f t="shared" si="0"/>
        <v>1.0838331074409967E-2</v>
      </c>
    </row>
    <row r="20" spans="1:26" x14ac:dyDescent="0.25">
      <c r="A20" s="193" t="s">
        <v>133</v>
      </c>
      <c r="B20" s="194" t="s">
        <v>133</v>
      </c>
      <c r="C20" s="195">
        <v>3428</v>
      </c>
      <c r="D20" s="195">
        <v>1763</v>
      </c>
      <c r="E20" s="195">
        <v>3453</v>
      </c>
      <c r="F20" s="195">
        <v>4406</v>
      </c>
      <c r="G20" s="195">
        <v>3638</v>
      </c>
      <c r="H20" s="196">
        <f t="shared" si="4"/>
        <v>-0.17430776214253296</v>
      </c>
      <c r="I20" s="212">
        <f t="shared" si="1"/>
        <v>6.1260210035005924E-2</v>
      </c>
      <c r="J20" s="196">
        <f t="shared" si="5"/>
        <v>4.7943490465333881E-3</v>
      </c>
      <c r="K20" s="195">
        <v>22112</v>
      </c>
      <c r="L20" s="195">
        <v>10721</v>
      </c>
      <c r="M20" s="195">
        <v>31821</v>
      </c>
      <c r="N20" s="195">
        <v>40312</v>
      </c>
      <c r="O20" s="195">
        <v>37135</v>
      </c>
      <c r="P20" s="196">
        <f t="shared" si="6"/>
        <v>-7.8810279817424056E-2</v>
      </c>
      <c r="Q20" s="212">
        <f t="shared" si="2"/>
        <v>0.67940484804630974</v>
      </c>
      <c r="R20" s="196">
        <f t="shared" si="7"/>
        <v>1.0547228920453415E-2</v>
      </c>
      <c r="S20" s="195">
        <v>25540</v>
      </c>
      <c r="T20" s="195">
        <v>12484</v>
      </c>
      <c r="U20" s="195">
        <v>35274</v>
      </c>
      <c r="V20" s="195">
        <v>44718</v>
      </c>
      <c r="W20" s="195">
        <v>40773</v>
      </c>
      <c r="X20" s="196">
        <f t="shared" si="8"/>
        <v>-8.8219508922581458E-2</v>
      </c>
      <c r="Y20" s="212">
        <f t="shared" si="3"/>
        <v>0.59643696162881743</v>
      </c>
      <c r="Z20" s="196">
        <f t="shared" si="0"/>
        <v>9.3394720976850421E-3</v>
      </c>
    </row>
    <row r="21" spans="1:26" x14ac:dyDescent="0.25">
      <c r="A21" s="198" t="s">
        <v>147</v>
      </c>
      <c r="B21" s="199" t="s">
        <v>147</v>
      </c>
      <c r="C21" s="200">
        <f>C13-SUM(C14:C20)</f>
        <v>57355</v>
      </c>
      <c r="D21" s="200">
        <f>D13-SUM(D14:D20)</f>
        <v>81543</v>
      </c>
      <c r="E21" s="200">
        <f>E13-SUM(E14:E20)</f>
        <v>177894</v>
      </c>
      <c r="F21" s="200">
        <f>F13-SUM(F14:F20)</f>
        <v>183064</v>
      </c>
      <c r="G21" s="200">
        <f>G13-SUM(G14:G20)</f>
        <v>201552</v>
      </c>
      <c r="H21" s="201">
        <f t="shared" si="4"/>
        <v>0.10099200279683607</v>
      </c>
      <c r="I21" s="213">
        <f t="shared" si="1"/>
        <v>2.5141138523232498</v>
      </c>
      <c r="J21" s="201">
        <f t="shared" si="5"/>
        <v>0.26561589857803664</v>
      </c>
      <c r="K21" s="200">
        <f>K13-SUM(K14:K20)</f>
        <v>163673</v>
      </c>
      <c r="L21" s="200">
        <f>L13-SUM(L14:L20)</f>
        <v>293055</v>
      </c>
      <c r="M21" s="200">
        <f>M13-SUM(M14:M20)</f>
        <v>583188</v>
      </c>
      <c r="N21" s="200">
        <f>N13-SUM(N14:N20)</f>
        <v>664101</v>
      </c>
      <c r="O21" s="200">
        <f>O13-SUM(O14:O20)</f>
        <v>724051</v>
      </c>
      <c r="P21" s="201">
        <f t="shared" si="6"/>
        <v>9.0272413382904038E-2</v>
      </c>
      <c r="Q21" s="213">
        <f t="shared" si="2"/>
        <v>3.4237656791285058</v>
      </c>
      <c r="R21" s="201">
        <f t="shared" si="7"/>
        <v>0.2056478159979323</v>
      </c>
      <c r="S21" s="200">
        <f>S13-SUM(S14:S20)</f>
        <v>221028</v>
      </c>
      <c r="T21" s="200">
        <f>T13-SUM(T14:T20)</f>
        <v>374598</v>
      </c>
      <c r="U21" s="200">
        <f>U13-SUM(U14:U20)</f>
        <v>761082</v>
      </c>
      <c r="V21" s="200">
        <f>V13-SUM(V14:V20)</f>
        <v>847165</v>
      </c>
      <c r="W21" s="200">
        <f>W13-SUM(W14:W20)</f>
        <v>925603</v>
      </c>
      <c r="X21" s="201">
        <f t="shared" si="8"/>
        <v>9.258881091640947E-2</v>
      </c>
      <c r="Y21" s="213">
        <f t="shared" si="3"/>
        <v>3.1877182981341727</v>
      </c>
      <c r="Z21" s="201">
        <f t="shared" si="0"/>
        <v>0.20151114427199432</v>
      </c>
    </row>
    <row r="22" spans="1:26" x14ac:dyDescent="0.25">
      <c r="A22" s="1"/>
      <c r="B22" s="186" t="s">
        <v>46</v>
      </c>
      <c r="C22" s="184"/>
      <c r="D22" s="184"/>
      <c r="E22" s="184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</row>
    <row r="23" spans="1:26" x14ac:dyDescent="0.25">
      <c r="A23" s="1" t="s">
        <v>0</v>
      </c>
      <c r="B23" s="187" t="s">
        <v>70</v>
      </c>
      <c r="C23" s="209">
        <f>C24+C27</f>
        <v>42852</v>
      </c>
      <c r="D23" s="209">
        <f>D24+D27</f>
        <v>64946</v>
      </c>
      <c r="E23" s="209">
        <f>E24+E27</f>
        <v>165265</v>
      </c>
      <c r="F23" s="209">
        <f>F24+F27</f>
        <v>165616</v>
      </c>
      <c r="G23" s="209">
        <f>G24+G27</f>
        <v>152897</v>
      </c>
      <c r="H23" s="210">
        <f>IFERROR(G23/F23-1,"-")</f>
        <v>-7.6798135445850679E-2</v>
      </c>
      <c r="I23" s="210">
        <f t="shared" si="1"/>
        <v>2.568024829646224</v>
      </c>
      <c r="J23" s="210">
        <f>G23/G$9</f>
        <v>0.20149576310275299</v>
      </c>
      <c r="K23" s="209">
        <f>K24+K27</f>
        <v>398770</v>
      </c>
      <c r="L23" s="209">
        <f>L24+L27</f>
        <v>687822</v>
      </c>
      <c r="M23" s="209">
        <f>M24+M27</f>
        <v>1325364</v>
      </c>
      <c r="N23" s="209">
        <f>N24+N27</f>
        <v>1377487</v>
      </c>
      <c r="O23" s="209">
        <f>O24+O27</f>
        <v>1420992</v>
      </c>
      <c r="P23" s="210">
        <f>IFERROR(O23/N23-1,"-")</f>
        <v>3.158287519228864E-2</v>
      </c>
      <c r="Q23" s="210">
        <f t="shared" ref="Q23:Q86" si="9">IFERROR(O23/K23-1,"-")</f>
        <v>2.5634375705293779</v>
      </c>
      <c r="R23" s="210">
        <f>O23/O$9</f>
        <v>0.40359574304922419</v>
      </c>
      <c r="S23" s="209">
        <f>S24+S27</f>
        <v>441622</v>
      </c>
      <c r="T23" s="209">
        <f>T24+T27</f>
        <v>752768</v>
      </c>
      <c r="U23" s="209">
        <f>U24+U27</f>
        <v>1490629</v>
      </c>
      <c r="V23" s="209">
        <f>V24+V27</f>
        <v>1543103</v>
      </c>
      <c r="W23" s="209">
        <f>W24+W27</f>
        <v>1573889</v>
      </c>
      <c r="X23" s="210">
        <f>IFERROR(W23/V23-1,"-")</f>
        <v>1.9950709706351377E-2</v>
      </c>
      <c r="Y23" s="210">
        <f t="shared" ref="Y23:Y86" si="10">IFERROR(W23/S23-1,"-")</f>
        <v>2.5638826870038178</v>
      </c>
      <c r="Z23" s="210">
        <f t="shared" ref="Z23:Z35" si="11">U23/U$9</f>
        <v>0.39467278883880924</v>
      </c>
    </row>
    <row r="24" spans="1:26" x14ac:dyDescent="0.25">
      <c r="A24" s="1" t="s">
        <v>98</v>
      </c>
      <c r="B24" s="190" t="s">
        <v>99</v>
      </c>
      <c r="C24" s="191">
        <v>2953</v>
      </c>
      <c r="D24" s="191">
        <v>8952</v>
      </c>
      <c r="E24" s="191">
        <v>12689</v>
      </c>
      <c r="F24" s="191">
        <v>11581</v>
      </c>
      <c r="G24" s="191">
        <v>7728</v>
      </c>
      <c r="H24" s="192">
        <f>IFERROR(G24/F24-1,"-")</f>
        <v>-0.33270011225282792</v>
      </c>
      <c r="I24" s="211">
        <f t="shared" si="1"/>
        <v>1.6169996613613273</v>
      </c>
      <c r="J24" s="192">
        <f>G24/G$9</f>
        <v>1.0184367628260039E-2</v>
      </c>
      <c r="K24" s="191">
        <v>90143</v>
      </c>
      <c r="L24" s="191">
        <v>198275</v>
      </c>
      <c r="M24" s="191">
        <v>161372</v>
      </c>
      <c r="N24" s="191">
        <v>131261</v>
      </c>
      <c r="O24" s="191">
        <v>120636</v>
      </c>
      <c r="P24" s="192">
        <f>IFERROR(O24/N24-1,"-")</f>
        <v>-8.0945596940446896E-2</v>
      </c>
      <c r="Q24" s="211">
        <f t="shared" si="9"/>
        <v>0.33827363189598758</v>
      </c>
      <c r="R24" s="192">
        <f>O24/O$9</f>
        <v>3.42635117287685E-2</v>
      </c>
      <c r="S24" s="191">
        <v>93096</v>
      </c>
      <c r="T24" s="191">
        <v>207227</v>
      </c>
      <c r="U24" s="191">
        <v>174061</v>
      </c>
      <c r="V24" s="191">
        <v>142842</v>
      </c>
      <c r="W24" s="191">
        <v>128364</v>
      </c>
      <c r="X24" s="192">
        <f>IFERROR(W24/V24-1,"-")</f>
        <v>-0.10135674381484439</v>
      </c>
      <c r="Y24" s="211">
        <f t="shared" si="10"/>
        <v>0.37883475122454247</v>
      </c>
      <c r="Z24" s="192">
        <f t="shared" si="11"/>
        <v>4.6086008187196124E-2</v>
      </c>
    </row>
    <row r="25" spans="1:26" x14ac:dyDescent="0.25">
      <c r="A25" s="193" t="s">
        <v>105</v>
      </c>
      <c r="B25" s="194" t="s">
        <v>105</v>
      </c>
      <c r="C25" s="195">
        <v>1786</v>
      </c>
      <c r="D25" s="195">
        <v>4418</v>
      </c>
      <c r="E25" s="195">
        <v>6088</v>
      </c>
      <c r="F25" s="195">
        <v>5359</v>
      </c>
      <c r="G25" s="195">
        <v>2401</v>
      </c>
      <c r="H25" s="196">
        <f>IFERROR(G25/F25-1,"-")</f>
        <v>-0.5519686508676992</v>
      </c>
      <c r="I25" s="212">
        <f t="shared" si="1"/>
        <v>0.34434490481522961</v>
      </c>
      <c r="J25" s="196">
        <f>G25/G$9</f>
        <v>3.1641649424757187E-3</v>
      </c>
      <c r="K25" s="195">
        <v>45044</v>
      </c>
      <c r="L25" s="195">
        <v>92809</v>
      </c>
      <c r="M25" s="195">
        <v>62381</v>
      </c>
      <c r="N25" s="195">
        <v>49573</v>
      </c>
      <c r="O25" s="195">
        <v>41582</v>
      </c>
      <c r="P25" s="196">
        <f>IFERROR(O25/N25-1,"-")</f>
        <v>-0.16119661912734751</v>
      </c>
      <c r="Q25" s="212">
        <f t="shared" si="9"/>
        <v>-7.6858183109848155E-2</v>
      </c>
      <c r="R25" s="196">
        <f>O25/O$9</f>
        <v>1.1810283370682481E-2</v>
      </c>
      <c r="S25" s="195">
        <v>46830</v>
      </c>
      <c r="T25" s="195">
        <v>97227</v>
      </c>
      <c r="U25" s="195">
        <v>68469</v>
      </c>
      <c r="V25" s="195">
        <v>54932</v>
      </c>
      <c r="W25" s="195">
        <v>43983</v>
      </c>
      <c r="X25" s="196">
        <f>IFERROR(W25/V25-1,"-")</f>
        <v>-0.19931915823199597</v>
      </c>
      <c r="Y25" s="212">
        <f t="shared" si="10"/>
        <v>-6.0794362588084572E-2</v>
      </c>
      <c r="Z25" s="196">
        <f t="shared" si="11"/>
        <v>1.812848883189877E-2</v>
      </c>
    </row>
    <row r="26" spans="1:26" x14ac:dyDescent="0.25">
      <c r="A26" s="193" t="s">
        <v>102</v>
      </c>
      <c r="B26" s="194" t="s">
        <v>102</v>
      </c>
      <c r="C26" s="195">
        <v>1167</v>
      </c>
      <c r="D26" s="195">
        <v>4534</v>
      </c>
      <c r="E26" s="195">
        <v>6601</v>
      </c>
      <c r="F26" s="195">
        <v>6222</v>
      </c>
      <c r="G26" s="195">
        <v>5327</v>
      </c>
      <c r="H26" s="196">
        <f>IFERROR(G26/F26-1,"-")</f>
        <v>-0.14384442301510769</v>
      </c>
      <c r="I26" s="212">
        <f t="shared" si="1"/>
        <v>3.5646958011996572</v>
      </c>
      <c r="J26" s="196">
        <f>G26/G$9</f>
        <v>7.0202026857843205E-3</v>
      </c>
      <c r="K26" s="195">
        <v>45099</v>
      </c>
      <c r="L26" s="195">
        <v>105466</v>
      </c>
      <c r="M26" s="195">
        <v>98991</v>
      </c>
      <c r="N26" s="195">
        <v>81688</v>
      </c>
      <c r="O26" s="195">
        <v>79054</v>
      </c>
      <c r="P26" s="196">
        <f>IFERROR(O26/N26-1,"-")</f>
        <v>-3.2244638135344283E-2</v>
      </c>
      <c r="Q26" s="212">
        <f t="shared" si="9"/>
        <v>0.75289917736535172</v>
      </c>
      <c r="R26" s="196">
        <f>O26/O$9</f>
        <v>2.2453228358086018E-2</v>
      </c>
      <c r="S26" s="195">
        <v>46266</v>
      </c>
      <c r="T26" s="195">
        <v>110000</v>
      </c>
      <c r="U26" s="195">
        <v>105592</v>
      </c>
      <c r="V26" s="195">
        <v>87910</v>
      </c>
      <c r="W26" s="195">
        <v>84381</v>
      </c>
      <c r="X26" s="196">
        <f>IFERROR(W26/V26-1,"-")</f>
        <v>-4.014332840404955E-2</v>
      </c>
      <c r="Y26" s="212">
        <f t="shared" si="10"/>
        <v>0.82382310984308127</v>
      </c>
      <c r="Z26" s="196">
        <f t="shared" si="11"/>
        <v>2.7957519355297358E-2</v>
      </c>
    </row>
    <row r="27" spans="1:26" x14ac:dyDescent="0.25">
      <c r="A27" s="1" t="s">
        <v>148</v>
      </c>
      <c r="B27" s="190" t="s">
        <v>109</v>
      </c>
      <c r="C27" s="191">
        <v>39899</v>
      </c>
      <c r="D27" s="191">
        <v>55994</v>
      </c>
      <c r="E27" s="191">
        <v>152576</v>
      </c>
      <c r="F27" s="191">
        <v>154035</v>
      </c>
      <c r="G27" s="191">
        <v>145169</v>
      </c>
      <c r="H27" s="192">
        <f>IFERROR(G27/F27-1,"-")</f>
        <v>-5.755834712889929E-2</v>
      </c>
      <c r="I27" s="211">
        <f t="shared" si="1"/>
        <v>2.6384119902754457</v>
      </c>
      <c r="J27" s="192">
        <f>G27/G$9</f>
        <v>0.19131139547449297</v>
      </c>
      <c r="K27" s="191">
        <v>308627</v>
      </c>
      <c r="L27" s="191">
        <v>489547</v>
      </c>
      <c r="M27" s="191">
        <v>1163992</v>
      </c>
      <c r="N27" s="191">
        <v>1246226</v>
      </c>
      <c r="O27" s="191">
        <v>1300356</v>
      </c>
      <c r="P27" s="192">
        <f>IFERROR(O27/N27-1,"-")</f>
        <v>4.3435139372794307E-2</v>
      </c>
      <c r="Q27" s="211">
        <f t="shared" si="9"/>
        <v>3.2133578721239555</v>
      </c>
      <c r="R27" s="192">
        <f>O27/O$9</f>
        <v>0.36933223132045567</v>
      </c>
      <c r="S27" s="191">
        <v>348526</v>
      </c>
      <c r="T27" s="191">
        <v>545541</v>
      </c>
      <c r="U27" s="191">
        <v>1316568</v>
      </c>
      <c r="V27" s="191">
        <v>1400261</v>
      </c>
      <c r="W27" s="191">
        <v>1445525</v>
      </c>
      <c r="X27" s="192">
        <f>IFERROR(W27/V27-1,"-")</f>
        <v>3.232540219287694E-2</v>
      </c>
      <c r="Y27" s="211">
        <f t="shared" si="10"/>
        <v>3.1475384906721446</v>
      </c>
      <c r="Z27" s="192">
        <f t="shared" si="11"/>
        <v>0.34858678065161314</v>
      </c>
    </row>
    <row r="28" spans="1:26" x14ac:dyDescent="0.25">
      <c r="A28" s="193" t="s">
        <v>112</v>
      </c>
      <c r="B28" s="194" t="s">
        <v>112</v>
      </c>
      <c r="C28" s="195">
        <v>14793</v>
      </c>
      <c r="D28" s="195">
        <v>16270</v>
      </c>
      <c r="E28" s="195">
        <v>66823</v>
      </c>
      <c r="F28" s="195">
        <v>69319</v>
      </c>
      <c r="G28" s="195">
        <v>63618</v>
      </c>
      <c r="H28" s="196">
        <f t="shared" ref="H28:H35" si="12">IFERROR(G28/F28-1,"-")</f>
        <v>-8.2242963689608928E-2</v>
      </c>
      <c r="I28" s="212">
        <f t="shared" si="1"/>
        <v>3.3005475562766176</v>
      </c>
      <c r="J28" s="196">
        <f t="shared" ref="J28:J35" si="13">G28/G$9</f>
        <v>8.383916922549782E-2</v>
      </c>
      <c r="K28" s="195">
        <v>128801</v>
      </c>
      <c r="L28" s="195">
        <v>159037</v>
      </c>
      <c r="M28" s="195">
        <v>590382</v>
      </c>
      <c r="N28" s="195">
        <v>640574</v>
      </c>
      <c r="O28" s="195">
        <v>669764</v>
      </c>
      <c r="P28" s="196">
        <f t="shared" ref="P28:P35" si="14">IFERROR(O28/N28-1,"-")</f>
        <v>4.5568505746408583E-2</v>
      </c>
      <c r="Q28" s="212">
        <f t="shared" si="9"/>
        <v>4.1999906833021479</v>
      </c>
      <c r="R28" s="196">
        <f t="shared" ref="R28:R35" si="15">O28/O$9</f>
        <v>0.19022900850083646</v>
      </c>
      <c r="S28" s="195">
        <v>143594</v>
      </c>
      <c r="T28" s="195">
        <v>175307</v>
      </c>
      <c r="U28" s="195">
        <v>657205</v>
      </c>
      <c r="V28" s="195">
        <v>709893</v>
      </c>
      <c r="W28" s="195">
        <v>733382</v>
      </c>
      <c r="X28" s="196">
        <f t="shared" ref="X28:X35" si="16">IFERROR(W28/V28-1,"-")</f>
        <v>3.3088085105783538E-2</v>
      </c>
      <c r="Y28" s="212">
        <f t="shared" si="10"/>
        <v>4.1073303898491584</v>
      </c>
      <c r="Z28" s="196">
        <f t="shared" si="11"/>
        <v>0.17400770425693424</v>
      </c>
    </row>
    <row r="29" spans="1:26" x14ac:dyDescent="0.25">
      <c r="A29" s="193" t="s">
        <v>115</v>
      </c>
      <c r="B29" s="194" t="s">
        <v>115</v>
      </c>
      <c r="C29" s="195">
        <v>7836</v>
      </c>
      <c r="D29" s="195">
        <v>14336</v>
      </c>
      <c r="E29" s="195">
        <v>27397</v>
      </c>
      <c r="F29" s="195">
        <v>30224</v>
      </c>
      <c r="G29" s="195">
        <v>29376</v>
      </c>
      <c r="H29" s="196">
        <f t="shared" si="12"/>
        <v>-2.8057173107464251E-2</v>
      </c>
      <c r="I29" s="212">
        <f t="shared" si="1"/>
        <v>2.7488514548238898</v>
      </c>
      <c r="J29" s="196">
        <f t="shared" si="13"/>
        <v>3.8713248375746231E-2</v>
      </c>
      <c r="K29" s="195">
        <v>41673</v>
      </c>
      <c r="L29" s="195">
        <v>81095</v>
      </c>
      <c r="M29" s="195">
        <v>128496</v>
      </c>
      <c r="N29" s="195">
        <v>137331</v>
      </c>
      <c r="O29" s="195">
        <v>137486</v>
      </c>
      <c r="P29" s="196">
        <f t="shared" si="14"/>
        <v>1.1286599529602981E-3</v>
      </c>
      <c r="Q29" s="212">
        <f t="shared" si="9"/>
        <v>2.2991625272958509</v>
      </c>
      <c r="R29" s="196">
        <f t="shared" si="15"/>
        <v>3.9049315076274627E-2</v>
      </c>
      <c r="S29" s="195">
        <v>49509</v>
      </c>
      <c r="T29" s="195">
        <v>95431</v>
      </c>
      <c r="U29" s="195">
        <v>155893</v>
      </c>
      <c r="V29" s="195">
        <v>167555</v>
      </c>
      <c r="W29" s="195">
        <v>166862</v>
      </c>
      <c r="X29" s="196">
        <f t="shared" si="16"/>
        <v>-4.1359553579422004E-3</v>
      </c>
      <c r="Y29" s="212">
        <f t="shared" si="10"/>
        <v>2.3703367064574117</v>
      </c>
      <c r="Z29" s="196">
        <f t="shared" si="11"/>
        <v>4.1275679642921538E-2</v>
      </c>
    </row>
    <row r="30" spans="1:26" x14ac:dyDescent="0.25">
      <c r="A30" s="193" t="s">
        <v>118</v>
      </c>
      <c r="B30" s="194" t="s">
        <v>118</v>
      </c>
      <c r="C30" s="195">
        <v>3230</v>
      </c>
      <c r="D30" s="195">
        <v>4987</v>
      </c>
      <c r="E30" s="195">
        <v>4132</v>
      </c>
      <c r="F30" s="195">
        <v>2982</v>
      </c>
      <c r="G30" s="195">
        <v>3034</v>
      </c>
      <c r="H30" s="196">
        <f t="shared" si="12"/>
        <v>1.7437961099932897E-2</v>
      </c>
      <c r="I30" s="212">
        <f t="shared" si="1"/>
        <v>-6.0681114551083604E-2</v>
      </c>
      <c r="J30" s="196">
        <f t="shared" si="13"/>
        <v>3.9983658623370805E-3</v>
      </c>
      <c r="K30" s="195">
        <v>13936</v>
      </c>
      <c r="L30" s="195">
        <v>30800</v>
      </c>
      <c r="M30" s="195">
        <v>48228</v>
      </c>
      <c r="N30" s="195">
        <v>43489</v>
      </c>
      <c r="O30" s="195">
        <v>39137</v>
      </c>
      <c r="P30" s="196">
        <f t="shared" si="14"/>
        <v>-0.10007128239324892</v>
      </c>
      <c r="Q30" s="212">
        <f t="shared" si="9"/>
        <v>1.8083381171067736</v>
      </c>
      <c r="R30" s="196">
        <f t="shared" si="15"/>
        <v>1.1115844843403402E-2</v>
      </c>
      <c r="S30" s="195">
        <v>17166</v>
      </c>
      <c r="T30" s="195">
        <v>35787</v>
      </c>
      <c r="U30" s="195">
        <v>52360</v>
      </c>
      <c r="V30" s="195">
        <v>46471</v>
      </c>
      <c r="W30" s="195">
        <v>42171</v>
      </c>
      <c r="X30" s="196">
        <f t="shared" si="16"/>
        <v>-9.2530825676228168E-2</v>
      </c>
      <c r="Y30" s="212">
        <f t="shared" si="10"/>
        <v>1.4566585110101364</v>
      </c>
      <c r="Z30" s="196">
        <f t="shared" si="11"/>
        <v>1.3863320265203516E-2</v>
      </c>
    </row>
    <row r="31" spans="1:26" x14ac:dyDescent="0.25">
      <c r="A31" s="193" t="s">
        <v>125</v>
      </c>
      <c r="B31" s="194" t="s">
        <v>125</v>
      </c>
      <c r="C31" s="195">
        <v>1736</v>
      </c>
      <c r="D31" s="195">
        <v>3938</v>
      </c>
      <c r="E31" s="195">
        <v>7950</v>
      </c>
      <c r="F31" s="195">
        <v>4040</v>
      </c>
      <c r="G31" s="195">
        <v>3255</v>
      </c>
      <c r="H31" s="196">
        <f t="shared" si="12"/>
        <v>-0.19430693069306926</v>
      </c>
      <c r="I31" s="212">
        <f t="shared" si="1"/>
        <v>0.875</v>
      </c>
      <c r="J31" s="196">
        <f t="shared" si="13"/>
        <v>4.2896113651638753E-3</v>
      </c>
      <c r="K31" s="195">
        <v>12314</v>
      </c>
      <c r="L31" s="195">
        <v>32115</v>
      </c>
      <c r="M31" s="195">
        <v>56445</v>
      </c>
      <c r="N31" s="195">
        <v>53434</v>
      </c>
      <c r="O31" s="195">
        <v>57796</v>
      </c>
      <c r="P31" s="196">
        <f t="shared" si="14"/>
        <v>8.1633416925553037E-2</v>
      </c>
      <c r="Q31" s="212">
        <f t="shared" si="9"/>
        <v>3.6935195712197499</v>
      </c>
      <c r="R31" s="196">
        <f t="shared" si="15"/>
        <v>1.6415447493914787E-2</v>
      </c>
      <c r="S31" s="195">
        <v>14050</v>
      </c>
      <c r="T31" s="195">
        <v>36053</v>
      </c>
      <c r="U31" s="195">
        <v>64395</v>
      </c>
      <c r="V31" s="195">
        <v>57474</v>
      </c>
      <c r="W31" s="195">
        <v>61051</v>
      </c>
      <c r="X31" s="196">
        <f t="shared" si="16"/>
        <v>6.2236837526533639E-2</v>
      </c>
      <c r="Y31" s="212">
        <f t="shared" si="10"/>
        <v>3.3452669039145908</v>
      </c>
      <c r="Z31" s="196">
        <f t="shared" si="11"/>
        <v>1.7049818725702454E-2</v>
      </c>
    </row>
    <row r="32" spans="1:26" x14ac:dyDescent="0.25">
      <c r="A32" s="193" t="s">
        <v>121</v>
      </c>
      <c r="B32" s="194" t="s">
        <v>121</v>
      </c>
      <c r="C32" s="195">
        <v>1403</v>
      </c>
      <c r="D32" s="195">
        <v>2232</v>
      </c>
      <c r="E32" s="195">
        <v>4497</v>
      </c>
      <c r="F32" s="195">
        <v>3231</v>
      </c>
      <c r="G32" s="195">
        <v>2567</v>
      </c>
      <c r="H32" s="196">
        <f t="shared" si="12"/>
        <v>-0.20550913030021667</v>
      </c>
      <c r="I32" s="212">
        <f t="shared" si="1"/>
        <v>0.8296507483962936</v>
      </c>
      <c r="J32" s="196">
        <f t="shared" si="13"/>
        <v>3.3829285328343065E-3</v>
      </c>
      <c r="K32" s="195">
        <v>25064</v>
      </c>
      <c r="L32" s="195">
        <v>46414</v>
      </c>
      <c r="M32" s="195">
        <v>73182</v>
      </c>
      <c r="N32" s="195">
        <v>71382</v>
      </c>
      <c r="O32" s="195">
        <v>73828</v>
      </c>
      <c r="P32" s="196">
        <f t="shared" si="14"/>
        <v>3.4266341654758836E-2</v>
      </c>
      <c r="Q32" s="212">
        <f t="shared" si="9"/>
        <v>1.9455793169486117</v>
      </c>
      <c r="R32" s="196">
        <f t="shared" si="15"/>
        <v>2.0968919260515275E-2</v>
      </c>
      <c r="S32" s="195">
        <v>26467</v>
      </c>
      <c r="T32" s="195">
        <v>48646</v>
      </c>
      <c r="U32" s="195">
        <v>77679</v>
      </c>
      <c r="V32" s="195">
        <v>74613</v>
      </c>
      <c r="W32" s="195">
        <v>76395</v>
      </c>
      <c r="X32" s="196">
        <f t="shared" si="16"/>
        <v>2.3883237505528454E-2</v>
      </c>
      <c r="Y32" s="212">
        <f t="shared" si="10"/>
        <v>1.8864246042241279</v>
      </c>
      <c r="Z32" s="196">
        <f t="shared" si="11"/>
        <v>2.0567014035155536E-2</v>
      </c>
    </row>
    <row r="33" spans="1:26" x14ac:dyDescent="0.25">
      <c r="A33" s="193" t="s">
        <v>130</v>
      </c>
      <c r="B33" s="194" t="s">
        <v>130</v>
      </c>
      <c r="C33" s="195">
        <v>1376</v>
      </c>
      <c r="D33" s="195">
        <v>590</v>
      </c>
      <c r="E33" s="195">
        <v>1708</v>
      </c>
      <c r="F33" s="195">
        <v>2116</v>
      </c>
      <c r="G33" s="195">
        <v>2577</v>
      </c>
      <c r="H33" s="196">
        <f t="shared" si="12"/>
        <v>0.21786389413988649</v>
      </c>
      <c r="I33" s="212">
        <f t="shared" si="1"/>
        <v>0.87281976744186052</v>
      </c>
      <c r="J33" s="196">
        <f t="shared" si="13"/>
        <v>3.3961070623739803E-3</v>
      </c>
      <c r="K33" s="195">
        <v>8223</v>
      </c>
      <c r="L33" s="195">
        <v>5697</v>
      </c>
      <c r="M33" s="195">
        <v>18357</v>
      </c>
      <c r="N33" s="195">
        <v>18861</v>
      </c>
      <c r="O33" s="195">
        <v>18273</v>
      </c>
      <c r="P33" s="196">
        <f t="shared" si="14"/>
        <v>-3.1175441386989022E-2</v>
      </c>
      <c r="Q33" s="212">
        <f t="shared" si="9"/>
        <v>1.2221816855162349</v>
      </c>
      <c r="R33" s="196">
        <f t="shared" si="15"/>
        <v>5.1899694106219271E-3</v>
      </c>
      <c r="S33" s="195">
        <v>9599</v>
      </c>
      <c r="T33" s="195">
        <v>6287</v>
      </c>
      <c r="U33" s="195">
        <v>20065</v>
      </c>
      <c r="V33" s="195">
        <v>20977</v>
      </c>
      <c r="W33" s="195">
        <v>20850</v>
      </c>
      <c r="X33" s="196">
        <f t="shared" si="16"/>
        <v>-6.054249892739616E-3</v>
      </c>
      <c r="Y33" s="212">
        <f t="shared" si="10"/>
        <v>1.1721012605479739</v>
      </c>
      <c r="Z33" s="196">
        <f t="shared" si="11"/>
        <v>5.3125958961288879E-3</v>
      </c>
    </row>
    <row r="34" spans="1:26" x14ac:dyDescent="0.25">
      <c r="A34" s="193" t="s">
        <v>133</v>
      </c>
      <c r="B34" s="194" t="s">
        <v>133</v>
      </c>
      <c r="C34" s="195">
        <v>669</v>
      </c>
      <c r="D34" s="195">
        <v>195</v>
      </c>
      <c r="E34" s="195">
        <v>794</v>
      </c>
      <c r="F34" s="195">
        <v>833</v>
      </c>
      <c r="G34" s="195">
        <v>620</v>
      </c>
      <c r="H34" s="196">
        <f t="shared" si="12"/>
        <v>-0.25570228091236491</v>
      </c>
      <c r="I34" s="212">
        <f t="shared" si="1"/>
        <v>-7.3243647234678577E-2</v>
      </c>
      <c r="J34" s="196">
        <f t="shared" si="13"/>
        <v>8.1706883145978568E-4</v>
      </c>
      <c r="K34" s="195">
        <v>10880</v>
      </c>
      <c r="L34" s="195">
        <v>4211</v>
      </c>
      <c r="M34" s="195">
        <v>16482</v>
      </c>
      <c r="N34" s="195">
        <v>21199</v>
      </c>
      <c r="O34" s="195">
        <v>19378</v>
      </c>
      <c r="P34" s="196">
        <f t="shared" si="14"/>
        <v>-8.59002783150149E-2</v>
      </c>
      <c r="Q34" s="212">
        <f t="shared" si="9"/>
        <v>0.78106617647058818</v>
      </c>
      <c r="R34" s="196">
        <f t="shared" si="15"/>
        <v>5.5038158616008154E-3</v>
      </c>
      <c r="S34" s="195">
        <v>11549</v>
      </c>
      <c r="T34" s="195">
        <v>4406</v>
      </c>
      <c r="U34" s="195">
        <v>17276</v>
      </c>
      <c r="V34" s="195">
        <v>22032</v>
      </c>
      <c r="W34" s="195">
        <v>19998</v>
      </c>
      <c r="X34" s="196">
        <f t="shared" si="16"/>
        <v>-9.2320261437908502E-2</v>
      </c>
      <c r="Y34" s="212">
        <f t="shared" si="10"/>
        <v>0.73157849164429822</v>
      </c>
      <c r="Z34" s="196">
        <f t="shared" si="11"/>
        <v>4.5741543334922828E-3</v>
      </c>
    </row>
    <row r="35" spans="1:26" x14ac:dyDescent="0.25">
      <c r="A35" s="198" t="s">
        <v>147</v>
      </c>
      <c r="B35" s="199" t="s">
        <v>147</v>
      </c>
      <c r="C35" s="200">
        <f>C27-SUM(C28:C34)</f>
        <v>8856</v>
      </c>
      <c r="D35" s="200">
        <f>D27-SUM(D28:D34)</f>
        <v>13446</v>
      </c>
      <c r="E35" s="200">
        <f>E27-SUM(E28:E34)</f>
        <v>39275</v>
      </c>
      <c r="F35" s="200">
        <f>F27-SUM(F28:F34)</f>
        <v>41290</v>
      </c>
      <c r="G35" s="200">
        <f>G27-SUM(G28:G34)</f>
        <v>40122</v>
      </c>
      <c r="H35" s="201">
        <f t="shared" si="12"/>
        <v>-2.8287720997820287E-2</v>
      </c>
      <c r="I35" s="213">
        <f t="shared" si="1"/>
        <v>3.5304878048780486</v>
      </c>
      <c r="J35" s="201">
        <f t="shared" si="13"/>
        <v>5.2874896219079877E-2</v>
      </c>
      <c r="K35" s="200">
        <f>K27-SUM(K28:K34)</f>
        <v>67736</v>
      </c>
      <c r="L35" s="200">
        <f>L27-SUM(L28:L34)</f>
        <v>130178</v>
      </c>
      <c r="M35" s="200">
        <f>M27-SUM(M28:M34)</f>
        <v>232420</v>
      </c>
      <c r="N35" s="200">
        <f>N27-SUM(N28:N34)</f>
        <v>259956</v>
      </c>
      <c r="O35" s="200">
        <f>O27-SUM(O28:O34)</f>
        <v>284694</v>
      </c>
      <c r="P35" s="201">
        <f t="shared" si="14"/>
        <v>9.5162258228315588E-2</v>
      </c>
      <c r="Q35" s="213">
        <f t="shared" si="9"/>
        <v>3.2029939766150939</v>
      </c>
      <c r="R35" s="201">
        <f t="shared" si="15"/>
        <v>8.0859910873288407E-2</v>
      </c>
      <c r="S35" s="200">
        <f>S27-SUM(S28:S34)</f>
        <v>76592</v>
      </c>
      <c r="T35" s="200">
        <f>T27-SUM(T28:T34)</f>
        <v>143624</v>
      </c>
      <c r="U35" s="200">
        <f>U27-SUM(U28:U34)</f>
        <v>271695</v>
      </c>
      <c r="V35" s="200">
        <f>V27-SUM(V28:V34)</f>
        <v>301246</v>
      </c>
      <c r="W35" s="200">
        <f>W27-SUM(W28:W34)</f>
        <v>324816</v>
      </c>
      <c r="X35" s="201">
        <f t="shared" si="16"/>
        <v>7.8241702794394019E-2</v>
      </c>
      <c r="Y35" s="213">
        <f t="shared" si="10"/>
        <v>3.2408606642991433</v>
      </c>
      <c r="Z35" s="201">
        <f t="shared" si="11"/>
        <v>7.1936493496074658E-2</v>
      </c>
    </row>
    <row r="36" spans="1:26" x14ac:dyDescent="0.25">
      <c r="A36" s="1"/>
      <c r="B36" s="186" t="s">
        <v>47</v>
      </c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4"/>
      <c r="U36" s="184"/>
      <c r="V36" s="184"/>
      <c r="W36" s="184"/>
      <c r="X36" s="184"/>
      <c r="Y36" s="184"/>
      <c r="Z36" s="184"/>
    </row>
    <row r="37" spans="1:26" x14ac:dyDescent="0.25">
      <c r="A37" s="1" t="s">
        <v>0</v>
      </c>
      <c r="B37" s="187" t="s">
        <v>70</v>
      </c>
      <c r="C37" s="209">
        <f>C38+C41</f>
        <v>54285</v>
      </c>
      <c r="D37" s="209">
        <f>D38+D41</f>
        <v>50672</v>
      </c>
      <c r="E37" s="209">
        <f>E38+E41</f>
        <v>179190</v>
      </c>
      <c r="F37" s="209">
        <f>F38+F41</f>
        <v>201287</v>
      </c>
      <c r="G37" s="209">
        <f>G38+G41</f>
        <v>210210</v>
      </c>
      <c r="H37" s="210">
        <f>IFERROR(G37/F37-1,"-")</f>
        <v>4.432973813510066E-2</v>
      </c>
      <c r="I37" s="210">
        <f t="shared" si="1"/>
        <v>2.8723404255319149</v>
      </c>
      <c r="J37" s="210">
        <f>G37/G$9</f>
        <v>0.2770258694534864</v>
      </c>
      <c r="K37" s="209">
        <f>K38+K41</f>
        <v>151994</v>
      </c>
      <c r="L37" s="209">
        <f>L38+L41</f>
        <v>206077</v>
      </c>
      <c r="M37" s="209">
        <f>M38+M41</f>
        <v>573367</v>
      </c>
      <c r="N37" s="209">
        <f>N38+N41</f>
        <v>609226</v>
      </c>
      <c r="O37" s="209">
        <f>O38+O41</f>
        <v>651257</v>
      </c>
      <c r="P37" s="210">
        <f>IFERROR(O37/N37-1,"-")</f>
        <v>6.8990817857412567E-2</v>
      </c>
      <c r="Q37" s="210">
        <f t="shared" si="9"/>
        <v>3.2847546613682121</v>
      </c>
      <c r="R37" s="210">
        <f>O37/O$9</f>
        <v>0.18497257748883075</v>
      </c>
      <c r="S37" s="209">
        <f>S38+S41</f>
        <v>206279</v>
      </c>
      <c r="T37" s="209">
        <f>T38+T41</f>
        <v>256749</v>
      </c>
      <c r="U37" s="209">
        <f>U38+U41</f>
        <v>752557</v>
      </c>
      <c r="V37" s="209">
        <f>V38+V41</f>
        <v>810513</v>
      </c>
      <c r="W37" s="209">
        <f>W38+W41</f>
        <v>861467</v>
      </c>
      <c r="X37" s="210">
        <f>IFERROR(W37/V37-1,"-")</f>
        <v>6.2866357479768986E-2</v>
      </c>
      <c r="Y37" s="210">
        <f t="shared" si="10"/>
        <v>3.1762224947764919</v>
      </c>
      <c r="Z37" s="210">
        <f t="shared" ref="Z37:Z49" si="17">U37/U$9</f>
        <v>0.19925398603553787</v>
      </c>
    </row>
    <row r="38" spans="1:26" x14ac:dyDescent="0.25">
      <c r="A38" s="1" t="s">
        <v>98</v>
      </c>
      <c r="B38" s="190" t="s">
        <v>99</v>
      </c>
      <c r="C38" s="191">
        <v>5529</v>
      </c>
      <c r="D38" s="191">
        <v>6062</v>
      </c>
      <c r="E38" s="191">
        <v>22234</v>
      </c>
      <c r="F38" s="191">
        <v>28331</v>
      </c>
      <c r="G38" s="191">
        <v>31527</v>
      </c>
      <c r="H38" s="192">
        <f>IFERROR(G38/F38-1,"-")</f>
        <v>0.11280929017683805</v>
      </c>
      <c r="I38" s="211">
        <f t="shared" si="1"/>
        <v>4.7021161150298427</v>
      </c>
      <c r="J38" s="192">
        <f>G38/G$9</f>
        <v>4.1547950079730105E-2</v>
      </c>
      <c r="K38" s="191">
        <v>19247</v>
      </c>
      <c r="L38" s="191">
        <v>33772</v>
      </c>
      <c r="M38" s="191">
        <v>60854</v>
      </c>
      <c r="N38" s="191">
        <v>52810</v>
      </c>
      <c r="O38" s="191">
        <v>49280</v>
      </c>
      <c r="P38" s="192">
        <f>IFERROR(O38/N38-1,"-")</f>
        <v>-6.6843400871047121E-2</v>
      </c>
      <c r="Q38" s="211">
        <f t="shared" si="9"/>
        <v>1.5603990232243987</v>
      </c>
      <c r="R38" s="192">
        <f>O38/O$9</f>
        <v>1.3996699641845814E-2</v>
      </c>
      <c r="S38" s="191">
        <v>24776</v>
      </c>
      <c r="T38" s="191">
        <v>39834</v>
      </c>
      <c r="U38" s="191">
        <v>83088</v>
      </c>
      <c r="V38" s="191">
        <v>81141</v>
      </c>
      <c r="W38" s="191">
        <v>80807</v>
      </c>
      <c r="X38" s="192">
        <f>IFERROR(W38/V38-1,"-")</f>
        <v>-4.1162913939931656E-3</v>
      </c>
      <c r="Y38" s="211">
        <f t="shared" si="10"/>
        <v>2.2615030674846626</v>
      </c>
      <c r="Z38" s="192">
        <f t="shared" si="17"/>
        <v>2.1999151149641516E-2</v>
      </c>
    </row>
    <row r="39" spans="1:26" x14ac:dyDescent="0.25">
      <c r="A39" s="193" t="s">
        <v>105</v>
      </c>
      <c r="B39" s="194" t="s">
        <v>105</v>
      </c>
      <c r="C39" s="195">
        <v>2180</v>
      </c>
      <c r="D39" s="195">
        <v>4351</v>
      </c>
      <c r="E39" s="195">
        <v>9363</v>
      </c>
      <c r="F39" s="195">
        <v>15562</v>
      </c>
      <c r="G39" s="195">
        <v>21291</v>
      </c>
      <c r="H39" s="196">
        <f>IFERROR(G39/F39-1,"-")</f>
        <v>0.36814034185837285</v>
      </c>
      <c r="I39" s="212">
        <f t="shared" si="1"/>
        <v>8.7665137614678894</v>
      </c>
      <c r="J39" s="196">
        <f>G39/G$9</f>
        <v>2.8058407242919834E-2</v>
      </c>
      <c r="K39" s="195">
        <v>1767</v>
      </c>
      <c r="L39" s="195">
        <v>4726</v>
      </c>
      <c r="M39" s="195">
        <v>9315</v>
      </c>
      <c r="N39" s="195">
        <v>13363</v>
      </c>
      <c r="O39" s="195">
        <v>10110</v>
      </c>
      <c r="P39" s="196">
        <f>IFERROR(O39/N39-1,"-")</f>
        <v>-0.24343336077228173</v>
      </c>
      <c r="Q39" s="212">
        <f t="shared" si="9"/>
        <v>4.7215619694397279</v>
      </c>
      <c r="R39" s="196">
        <f>O39/O$9</f>
        <v>2.8714820085036768E-3</v>
      </c>
      <c r="S39" s="195">
        <v>3947</v>
      </c>
      <c r="T39" s="195">
        <v>9077</v>
      </c>
      <c r="U39" s="195">
        <v>18678</v>
      </c>
      <c r="V39" s="195">
        <v>28925</v>
      </c>
      <c r="W39" s="195">
        <v>31401</v>
      </c>
      <c r="X39" s="196">
        <f>IFERROR(W39/V39-1,"-")</f>
        <v>8.5600691443388E-2</v>
      </c>
      <c r="Y39" s="212">
        <f t="shared" si="10"/>
        <v>6.9556625285026605</v>
      </c>
      <c r="Z39" s="196">
        <f t="shared" si="17"/>
        <v>4.945360884520078E-3</v>
      </c>
    </row>
    <row r="40" spans="1:26" x14ac:dyDescent="0.25">
      <c r="A40" s="193" t="s">
        <v>102</v>
      </c>
      <c r="B40" s="194" t="s">
        <v>102</v>
      </c>
      <c r="C40" s="195">
        <v>3349</v>
      </c>
      <c r="D40" s="195">
        <v>1711</v>
      </c>
      <c r="E40" s="195">
        <v>12871</v>
      </c>
      <c r="F40" s="195">
        <v>12769</v>
      </c>
      <c r="G40" s="195">
        <v>10236</v>
      </c>
      <c r="H40" s="196">
        <f>IFERROR(G40/F40-1,"-")</f>
        <v>-0.19837105489858253</v>
      </c>
      <c r="I40" s="212">
        <f t="shared" si="1"/>
        <v>2.0564347566437742</v>
      </c>
      <c r="J40" s="196">
        <f>G40/G$9</f>
        <v>1.3489542836810269E-2</v>
      </c>
      <c r="K40" s="195">
        <v>17480</v>
      </c>
      <c r="L40" s="195">
        <v>29046</v>
      </c>
      <c r="M40" s="195">
        <v>51539</v>
      </c>
      <c r="N40" s="195">
        <v>39447</v>
      </c>
      <c r="O40" s="195">
        <v>39170</v>
      </c>
      <c r="P40" s="196">
        <f>IFERROR(O40/N40-1,"-")</f>
        <v>-7.0220802595888365E-3</v>
      </c>
      <c r="Q40" s="212">
        <f t="shared" si="9"/>
        <v>1.2408466819221968</v>
      </c>
      <c r="R40" s="196">
        <f>O40/O$9</f>
        <v>1.1125217633342139E-2</v>
      </c>
      <c r="S40" s="195">
        <v>20829</v>
      </c>
      <c r="T40" s="195">
        <v>30757</v>
      </c>
      <c r="U40" s="195">
        <v>64410</v>
      </c>
      <c r="V40" s="195">
        <v>52216</v>
      </c>
      <c r="W40" s="195">
        <v>49406</v>
      </c>
      <c r="X40" s="196">
        <f>IFERROR(W40/V40-1,"-")</f>
        <v>-5.3814922629079165E-2</v>
      </c>
      <c r="Y40" s="212">
        <f t="shared" si="10"/>
        <v>1.3719813721254019</v>
      </c>
      <c r="Z40" s="196">
        <f t="shared" si="17"/>
        <v>1.7053790265121438E-2</v>
      </c>
    </row>
    <row r="41" spans="1:26" x14ac:dyDescent="0.25">
      <c r="A41" s="1" t="s">
        <v>148</v>
      </c>
      <c r="B41" s="190" t="s">
        <v>109</v>
      </c>
      <c r="C41" s="191">
        <v>48756</v>
      </c>
      <c r="D41" s="191">
        <v>44610</v>
      </c>
      <c r="E41" s="191">
        <v>156956</v>
      </c>
      <c r="F41" s="191">
        <v>172956</v>
      </c>
      <c r="G41" s="191">
        <v>178683</v>
      </c>
      <c r="H41" s="192">
        <f>IFERROR(G41/F41-1,"-")</f>
        <v>3.3112467910913823E-2</v>
      </c>
      <c r="I41" s="211">
        <f t="shared" si="1"/>
        <v>2.6648412503076546</v>
      </c>
      <c r="J41" s="192">
        <f>G41/G$9</f>
        <v>0.23547791937375628</v>
      </c>
      <c r="K41" s="191">
        <v>132747</v>
      </c>
      <c r="L41" s="191">
        <v>172305</v>
      </c>
      <c r="M41" s="191">
        <v>512513</v>
      </c>
      <c r="N41" s="191">
        <v>556416</v>
      </c>
      <c r="O41" s="191">
        <v>601977</v>
      </c>
      <c r="P41" s="192">
        <f>IFERROR(O41/N41-1,"-")</f>
        <v>8.1882979641131781E-2</v>
      </c>
      <c r="Q41" s="211">
        <f t="shared" si="9"/>
        <v>3.5347691473253633</v>
      </c>
      <c r="R41" s="192">
        <f>O41/O$9</f>
        <v>0.17097587784698495</v>
      </c>
      <c r="S41" s="191">
        <v>181503</v>
      </c>
      <c r="T41" s="191">
        <v>216915</v>
      </c>
      <c r="U41" s="191">
        <v>669469</v>
      </c>
      <c r="V41" s="191">
        <v>729372</v>
      </c>
      <c r="W41" s="191">
        <v>780660</v>
      </c>
      <c r="X41" s="192">
        <f>IFERROR(W41/V41-1,"-")</f>
        <v>7.0318027015021212E-2</v>
      </c>
      <c r="Y41" s="211">
        <f t="shared" si="10"/>
        <v>3.3010859324639261</v>
      </c>
      <c r="Z41" s="192">
        <f t="shared" si="17"/>
        <v>0.17725483488589636</v>
      </c>
    </row>
    <row r="42" spans="1:26" x14ac:dyDescent="0.25">
      <c r="A42" s="193" t="s">
        <v>112</v>
      </c>
      <c r="B42" s="194" t="s">
        <v>112</v>
      </c>
      <c r="C42" s="195">
        <v>24960</v>
      </c>
      <c r="D42" s="195">
        <v>17021</v>
      </c>
      <c r="E42" s="195">
        <v>75160</v>
      </c>
      <c r="F42" s="195">
        <v>74709</v>
      </c>
      <c r="G42" s="195">
        <v>75962</v>
      </c>
      <c r="H42" s="196">
        <f t="shared" ref="H42:H49" si="18">IFERROR(G42/F42-1,"-")</f>
        <v>1.6771741021831321E-2</v>
      </c>
      <c r="I42" s="212">
        <f t="shared" si="1"/>
        <v>2.0433493589743588</v>
      </c>
      <c r="J42" s="196">
        <f t="shared" ref="J42:J49" si="19">G42/G$9</f>
        <v>0.10010674608927136</v>
      </c>
      <c r="K42" s="195">
        <v>63301</v>
      </c>
      <c r="L42" s="195">
        <v>63769</v>
      </c>
      <c r="M42" s="195">
        <v>269103</v>
      </c>
      <c r="N42" s="195">
        <v>299592</v>
      </c>
      <c r="O42" s="195">
        <v>337098</v>
      </c>
      <c r="P42" s="196">
        <f t="shared" ref="P42:P49" si="20">IFERROR(O42/N42-1,"-")</f>
        <v>0.12519025875190248</v>
      </c>
      <c r="Q42" s="212">
        <f t="shared" si="9"/>
        <v>4.3253187153441495</v>
      </c>
      <c r="R42" s="196">
        <f t="shared" ref="R42:R49" si="21">O42/O$9</f>
        <v>9.574390129600123E-2</v>
      </c>
      <c r="S42" s="195">
        <v>88261</v>
      </c>
      <c r="T42" s="195">
        <v>80790</v>
      </c>
      <c r="U42" s="195">
        <v>344263</v>
      </c>
      <c r="V42" s="195">
        <v>374301</v>
      </c>
      <c r="W42" s="195">
        <v>413060</v>
      </c>
      <c r="X42" s="196">
        <f t="shared" ref="X42:X49" si="22">IFERROR(W42/V42-1,"-")</f>
        <v>0.10355035118794764</v>
      </c>
      <c r="Y42" s="212">
        <f t="shared" si="10"/>
        <v>3.6799832315518746</v>
      </c>
      <c r="Z42" s="196">
        <f t="shared" si="17"/>
        <v>9.1150271666534721E-2</v>
      </c>
    </row>
    <row r="43" spans="1:26" x14ac:dyDescent="0.25">
      <c r="A43" s="193" t="s">
        <v>115</v>
      </c>
      <c r="B43" s="194" t="s">
        <v>115</v>
      </c>
      <c r="C43" s="195">
        <v>3221</v>
      </c>
      <c r="D43" s="195">
        <v>2578</v>
      </c>
      <c r="E43" s="195">
        <v>7845</v>
      </c>
      <c r="F43" s="195">
        <v>10865</v>
      </c>
      <c r="G43" s="195">
        <v>11127</v>
      </c>
      <c r="H43" s="196">
        <f t="shared" si="18"/>
        <v>2.4114127933732243E-2</v>
      </c>
      <c r="I43" s="212">
        <f t="shared" si="1"/>
        <v>2.4545172306737038</v>
      </c>
      <c r="J43" s="196">
        <f t="shared" si="19"/>
        <v>1.4663749818795219E-2</v>
      </c>
      <c r="K43" s="195">
        <v>7570</v>
      </c>
      <c r="L43" s="195">
        <v>10918</v>
      </c>
      <c r="M43" s="195">
        <v>19949</v>
      </c>
      <c r="N43" s="195">
        <v>22563</v>
      </c>
      <c r="O43" s="195">
        <v>20333</v>
      </c>
      <c r="P43" s="196">
        <f t="shared" si="20"/>
        <v>-9.883437486149893E-2</v>
      </c>
      <c r="Q43" s="212">
        <f t="shared" si="9"/>
        <v>1.6859973579920742</v>
      </c>
      <c r="R43" s="196">
        <f t="shared" si="21"/>
        <v>5.775058721949086E-3</v>
      </c>
      <c r="S43" s="195">
        <v>10791</v>
      </c>
      <c r="T43" s="195">
        <v>13496</v>
      </c>
      <c r="U43" s="195">
        <v>27794</v>
      </c>
      <c r="V43" s="195">
        <v>33428</v>
      </c>
      <c r="W43" s="195">
        <v>31460</v>
      </c>
      <c r="X43" s="196">
        <f t="shared" si="22"/>
        <v>-5.88728012444657E-2</v>
      </c>
      <c r="Y43" s="212">
        <f t="shared" si="10"/>
        <v>1.9153924566768605</v>
      </c>
      <c r="Z43" s="196">
        <f t="shared" si="17"/>
        <v>7.3589977740845403E-3</v>
      </c>
    </row>
    <row r="44" spans="1:26" x14ac:dyDescent="0.25">
      <c r="A44" s="193" t="s">
        <v>118</v>
      </c>
      <c r="B44" s="194" t="s">
        <v>118</v>
      </c>
      <c r="C44" s="195">
        <v>1995</v>
      </c>
      <c r="D44" s="195">
        <v>1781</v>
      </c>
      <c r="E44" s="195">
        <v>5675</v>
      </c>
      <c r="F44" s="195">
        <v>7865</v>
      </c>
      <c r="G44" s="195">
        <v>8232</v>
      </c>
      <c r="H44" s="196">
        <f t="shared" si="18"/>
        <v>4.6662428480610307E-2</v>
      </c>
      <c r="I44" s="212">
        <f t="shared" si="1"/>
        <v>3.1263157894736846</v>
      </c>
      <c r="J44" s="196">
        <f t="shared" si="19"/>
        <v>1.0848565517059606E-2</v>
      </c>
      <c r="K44" s="195">
        <v>3970</v>
      </c>
      <c r="L44" s="195">
        <v>8252</v>
      </c>
      <c r="M44" s="195">
        <v>12032</v>
      </c>
      <c r="N44" s="195">
        <v>11886</v>
      </c>
      <c r="O44" s="195">
        <v>11380</v>
      </c>
      <c r="P44" s="196">
        <f t="shared" si="20"/>
        <v>-4.2571092041056691E-2</v>
      </c>
      <c r="Q44" s="212">
        <f t="shared" si="9"/>
        <v>1.8664987405541562</v>
      </c>
      <c r="R44" s="196">
        <f t="shared" si="21"/>
        <v>3.2321924091762455E-3</v>
      </c>
      <c r="S44" s="195">
        <v>5965</v>
      </c>
      <c r="T44" s="195">
        <v>10033</v>
      </c>
      <c r="U44" s="195">
        <v>17707</v>
      </c>
      <c r="V44" s="195">
        <v>19751</v>
      </c>
      <c r="W44" s="195">
        <v>19612</v>
      </c>
      <c r="X44" s="196">
        <f t="shared" si="22"/>
        <v>-7.0376183484380794E-3</v>
      </c>
      <c r="Y44" s="212">
        <f t="shared" si="10"/>
        <v>2.2878457669740149</v>
      </c>
      <c r="Z44" s="196">
        <f t="shared" si="17"/>
        <v>4.688269899464451E-3</v>
      </c>
    </row>
    <row r="45" spans="1:26" x14ac:dyDescent="0.25">
      <c r="A45" s="193" t="s">
        <v>125</v>
      </c>
      <c r="B45" s="194" t="s">
        <v>125</v>
      </c>
      <c r="C45" s="195">
        <v>885</v>
      </c>
      <c r="D45" s="195">
        <v>1430</v>
      </c>
      <c r="E45" s="195">
        <v>3236</v>
      </c>
      <c r="F45" s="195">
        <v>3482</v>
      </c>
      <c r="G45" s="195">
        <v>3809</v>
      </c>
      <c r="H45" s="196">
        <f t="shared" si="18"/>
        <v>9.3911545089029325E-2</v>
      </c>
      <c r="I45" s="212">
        <f t="shared" si="1"/>
        <v>3.303954802259887</v>
      </c>
      <c r="J45" s="196">
        <f t="shared" si="19"/>
        <v>5.0197019016618126E-3</v>
      </c>
      <c r="K45" s="195">
        <v>6712</v>
      </c>
      <c r="L45" s="195">
        <v>13570</v>
      </c>
      <c r="M45" s="195">
        <v>27358</v>
      </c>
      <c r="N45" s="195">
        <v>26160</v>
      </c>
      <c r="O45" s="195">
        <v>28369</v>
      </c>
      <c r="P45" s="196">
        <f t="shared" si="20"/>
        <v>8.4441896024464835E-2</v>
      </c>
      <c r="Q45" s="212">
        <f t="shared" si="9"/>
        <v>3.2266090584028602</v>
      </c>
      <c r="R45" s="196">
        <f t="shared" si="21"/>
        <v>8.0574750840000792E-3</v>
      </c>
      <c r="S45" s="195">
        <v>7597</v>
      </c>
      <c r="T45" s="195">
        <v>15000</v>
      </c>
      <c r="U45" s="195">
        <v>30594</v>
      </c>
      <c r="V45" s="195">
        <v>29642</v>
      </c>
      <c r="W45" s="195">
        <v>32178</v>
      </c>
      <c r="X45" s="196">
        <f t="shared" si="22"/>
        <v>8.5554281087645956E-2</v>
      </c>
      <c r="Y45" s="212">
        <f t="shared" si="10"/>
        <v>3.2356193234171382</v>
      </c>
      <c r="Z45" s="196">
        <f t="shared" si="17"/>
        <v>8.100351798961734E-3</v>
      </c>
    </row>
    <row r="46" spans="1:26" x14ac:dyDescent="0.25">
      <c r="A46" s="193" t="s">
        <v>121</v>
      </c>
      <c r="B46" s="194" t="s">
        <v>121</v>
      </c>
      <c r="C46" s="195">
        <v>1080</v>
      </c>
      <c r="D46" s="195">
        <v>722</v>
      </c>
      <c r="E46" s="195">
        <v>1778</v>
      </c>
      <c r="F46" s="195">
        <v>2269</v>
      </c>
      <c r="G46" s="195">
        <v>2413</v>
      </c>
      <c r="H46" s="196">
        <f t="shared" si="18"/>
        <v>6.3464081092992508E-2</v>
      </c>
      <c r="I46" s="212">
        <f t="shared" si="1"/>
        <v>1.2342592592592592</v>
      </c>
      <c r="J46" s="196">
        <f t="shared" si="19"/>
        <v>3.1799791779233274E-3</v>
      </c>
      <c r="K46" s="195">
        <v>11022</v>
      </c>
      <c r="L46" s="195">
        <v>16968</v>
      </c>
      <c r="M46" s="195">
        <v>29000</v>
      </c>
      <c r="N46" s="195">
        <v>33231</v>
      </c>
      <c r="O46" s="195">
        <v>33087</v>
      </c>
      <c r="P46" s="196">
        <f t="shared" si="20"/>
        <v>-4.3333032409497152E-3</v>
      </c>
      <c r="Q46" s="212">
        <f t="shared" si="9"/>
        <v>2.0019052803483941</v>
      </c>
      <c r="R46" s="196">
        <f t="shared" si="21"/>
        <v>9.397500021301795E-3</v>
      </c>
      <c r="S46" s="195">
        <v>12102</v>
      </c>
      <c r="T46" s="195">
        <v>17690</v>
      </c>
      <c r="U46" s="195">
        <v>30778</v>
      </c>
      <c r="V46" s="195">
        <v>35500</v>
      </c>
      <c r="W46" s="195">
        <v>35500</v>
      </c>
      <c r="X46" s="196">
        <f t="shared" si="22"/>
        <v>0</v>
      </c>
      <c r="Y46" s="212">
        <f t="shared" si="10"/>
        <v>1.9333994381094035</v>
      </c>
      <c r="Z46" s="196">
        <f t="shared" si="17"/>
        <v>8.1490693491679499E-3</v>
      </c>
    </row>
    <row r="47" spans="1:26" x14ac:dyDescent="0.25">
      <c r="A47" s="193" t="s">
        <v>130</v>
      </c>
      <c r="B47" s="194" t="s">
        <v>130</v>
      </c>
      <c r="C47" s="195">
        <v>1099</v>
      </c>
      <c r="D47" s="195">
        <v>749</v>
      </c>
      <c r="E47" s="195">
        <v>2218</v>
      </c>
      <c r="F47" s="195">
        <v>2218</v>
      </c>
      <c r="G47" s="195">
        <v>1673</v>
      </c>
      <c r="H47" s="196">
        <f t="shared" si="18"/>
        <v>-0.24571686203787191</v>
      </c>
      <c r="I47" s="212">
        <f t="shared" si="1"/>
        <v>0.52229299363057335</v>
      </c>
      <c r="J47" s="196">
        <f t="shared" si="19"/>
        <v>2.2047679919874538E-3</v>
      </c>
      <c r="K47" s="195">
        <v>2296</v>
      </c>
      <c r="L47" s="195">
        <v>2639</v>
      </c>
      <c r="M47" s="195">
        <v>6605</v>
      </c>
      <c r="N47" s="195">
        <v>7002</v>
      </c>
      <c r="O47" s="195">
        <v>6960</v>
      </c>
      <c r="P47" s="196">
        <f t="shared" si="20"/>
        <v>-5.9982862039417162E-3</v>
      </c>
      <c r="Q47" s="212">
        <f t="shared" si="9"/>
        <v>2.0313588850174216</v>
      </c>
      <c r="R47" s="196">
        <f t="shared" si="21"/>
        <v>1.9768066052606912E-3</v>
      </c>
      <c r="S47" s="195">
        <v>3395</v>
      </c>
      <c r="T47" s="195">
        <v>3388</v>
      </c>
      <c r="U47" s="195">
        <v>8823</v>
      </c>
      <c r="V47" s="195">
        <v>9220</v>
      </c>
      <c r="W47" s="195">
        <v>8633</v>
      </c>
      <c r="X47" s="196">
        <f t="shared" si="22"/>
        <v>-6.3665943600867636E-2</v>
      </c>
      <c r="Y47" s="212">
        <f t="shared" si="10"/>
        <v>1.5428571428571427</v>
      </c>
      <c r="Z47" s="196">
        <f t="shared" si="17"/>
        <v>2.336059486246956E-3</v>
      </c>
    </row>
    <row r="48" spans="1:26" x14ac:dyDescent="0.25">
      <c r="A48" s="193" t="s">
        <v>133</v>
      </c>
      <c r="B48" s="194" t="s">
        <v>133</v>
      </c>
      <c r="C48" s="195">
        <v>1080</v>
      </c>
      <c r="D48" s="195">
        <v>761</v>
      </c>
      <c r="E48" s="195">
        <v>1311</v>
      </c>
      <c r="F48" s="195">
        <v>1982</v>
      </c>
      <c r="G48" s="195">
        <v>1393</v>
      </c>
      <c r="H48" s="196">
        <f t="shared" si="18"/>
        <v>-0.29717457114026236</v>
      </c>
      <c r="I48" s="212">
        <f t="shared" si="1"/>
        <v>0.28981481481481475</v>
      </c>
      <c r="J48" s="196">
        <f t="shared" si="19"/>
        <v>1.835769164876583E-3</v>
      </c>
      <c r="K48" s="195">
        <v>4136</v>
      </c>
      <c r="L48" s="195">
        <v>3019</v>
      </c>
      <c r="M48" s="195">
        <v>6804</v>
      </c>
      <c r="N48" s="195">
        <v>8431</v>
      </c>
      <c r="O48" s="195">
        <v>7038</v>
      </c>
      <c r="P48" s="196">
        <f t="shared" si="20"/>
        <v>-0.16522357964654255</v>
      </c>
      <c r="Q48" s="212">
        <f t="shared" si="9"/>
        <v>0.70164410058027071</v>
      </c>
      <c r="R48" s="196">
        <f t="shared" si="21"/>
        <v>1.9989604723886127E-3</v>
      </c>
      <c r="S48" s="195">
        <v>5216</v>
      </c>
      <c r="T48" s="195">
        <v>3780</v>
      </c>
      <c r="U48" s="195">
        <v>8115</v>
      </c>
      <c r="V48" s="195">
        <v>10413</v>
      </c>
      <c r="W48" s="195">
        <v>8431</v>
      </c>
      <c r="X48" s="196">
        <f t="shared" si="22"/>
        <v>-0.19033899932776333</v>
      </c>
      <c r="Y48" s="212">
        <f t="shared" si="10"/>
        <v>0.61637269938650308</v>
      </c>
      <c r="Z48" s="196">
        <f t="shared" si="17"/>
        <v>2.1486028256708658E-3</v>
      </c>
    </row>
    <row r="49" spans="1:26" x14ac:dyDescent="0.25">
      <c r="A49" s="198" t="s">
        <v>147</v>
      </c>
      <c r="B49" s="199" t="s">
        <v>147</v>
      </c>
      <c r="C49" s="200">
        <f>C41-SUM(C42:C48)</f>
        <v>14436</v>
      </c>
      <c r="D49" s="200">
        <f>D41-SUM(D42:D48)</f>
        <v>19568</v>
      </c>
      <c r="E49" s="200">
        <f>E41-SUM(E42:E48)</f>
        <v>59733</v>
      </c>
      <c r="F49" s="200">
        <f>F41-SUM(F42:F48)</f>
        <v>69566</v>
      </c>
      <c r="G49" s="200">
        <f>G41-SUM(G42:G48)</f>
        <v>74074</v>
      </c>
      <c r="H49" s="201">
        <f t="shared" si="18"/>
        <v>6.4801770980076556E-2</v>
      </c>
      <c r="I49" s="213">
        <f t="shared" si="1"/>
        <v>4.1311997783319478</v>
      </c>
      <c r="J49" s="201">
        <f t="shared" si="19"/>
        <v>9.7618639712180919E-2</v>
      </c>
      <c r="K49" s="200">
        <f>K41-SUM(K42:K48)</f>
        <v>33740</v>
      </c>
      <c r="L49" s="200">
        <f>L41-SUM(L42:L48)</f>
        <v>53170</v>
      </c>
      <c r="M49" s="200">
        <f>M41-SUM(M42:M48)</f>
        <v>141662</v>
      </c>
      <c r="N49" s="200">
        <f>N41-SUM(N42:N48)</f>
        <v>147551</v>
      </c>
      <c r="O49" s="200">
        <f>O41-SUM(O42:O48)</f>
        <v>157712</v>
      </c>
      <c r="P49" s="201">
        <f t="shared" si="20"/>
        <v>6.8864324877500049E-2</v>
      </c>
      <c r="Q49" s="213">
        <f t="shared" si="9"/>
        <v>3.6743331357439244</v>
      </c>
      <c r="R49" s="201">
        <f t="shared" si="21"/>
        <v>4.4793983236907205E-2</v>
      </c>
      <c r="S49" s="200">
        <f>S41-SUM(S42:S48)</f>
        <v>48176</v>
      </c>
      <c r="T49" s="200">
        <f>T41-SUM(T42:T48)</f>
        <v>72738</v>
      </c>
      <c r="U49" s="200">
        <f>U41-SUM(U42:U48)</f>
        <v>201395</v>
      </c>
      <c r="V49" s="200">
        <f>V41-SUM(V42:V48)</f>
        <v>217117</v>
      </c>
      <c r="W49" s="200">
        <f>W41-SUM(W42:W48)</f>
        <v>231786</v>
      </c>
      <c r="X49" s="201">
        <f t="shared" si="22"/>
        <v>6.7562650552467129E-2</v>
      </c>
      <c r="Y49" s="213">
        <f t="shared" si="10"/>
        <v>3.8112338093656595</v>
      </c>
      <c r="Z49" s="201">
        <f t="shared" si="17"/>
        <v>5.3323212085765126E-2</v>
      </c>
    </row>
    <row r="50" spans="1:26" x14ac:dyDescent="0.25">
      <c r="A50" s="1"/>
      <c r="B50" s="186" t="s">
        <v>48</v>
      </c>
      <c r="C50" s="184"/>
      <c r="D50" s="184"/>
      <c r="E50" s="184"/>
      <c r="F50" s="184"/>
      <c r="G50" s="184"/>
      <c r="H50" s="184"/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  <c r="Y50" s="184"/>
      <c r="Z50" s="184"/>
    </row>
    <row r="51" spans="1:26" x14ac:dyDescent="0.25">
      <c r="A51" s="1" t="s">
        <v>0</v>
      </c>
      <c r="B51" s="187" t="s">
        <v>70</v>
      </c>
      <c r="C51" s="209">
        <f>C52+C55</f>
        <v>0</v>
      </c>
      <c r="D51" s="209">
        <f>D52+D55</f>
        <v>0</v>
      </c>
      <c r="E51" s="209">
        <f>E52+E55</f>
        <v>0</v>
      </c>
      <c r="F51" s="209">
        <f>F52+F55</f>
        <v>0</v>
      </c>
      <c r="G51" s="209">
        <f>G52+G55</f>
        <v>0</v>
      </c>
      <c r="H51" s="210" t="str">
        <f>IFERROR(G51/F51-1,"-")</f>
        <v>-</v>
      </c>
      <c r="I51" s="210" t="str">
        <f t="shared" si="1"/>
        <v>-</v>
      </c>
      <c r="J51" s="210">
        <f>G51/G$9</f>
        <v>0</v>
      </c>
      <c r="K51" s="209">
        <f>K52+K55</f>
        <v>0</v>
      </c>
      <c r="L51" s="209">
        <f>L52+L55</f>
        <v>0</v>
      </c>
      <c r="M51" s="209">
        <f>M52+M55</f>
        <v>0</v>
      </c>
      <c r="N51" s="209">
        <f>N52+N55</f>
        <v>0</v>
      </c>
      <c r="O51" s="209">
        <f>O52+O55</f>
        <v>0</v>
      </c>
      <c r="P51" s="210" t="str">
        <f>IFERROR(O51/N51-1,"-")</f>
        <v>-</v>
      </c>
      <c r="Q51" s="210" t="str">
        <f t="shared" si="9"/>
        <v>-</v>
      </c>
      <c r="R51" s="210">
        <f>O51/O$9</f>
        <v>0</v>
      </c>
      <c r="S51" s="209">
        <f>S52+S55</f>
        <v>10755</v>
      </c>
      <c r="T51" s="209">
        <f>T52+T55</f>
        <v>20161</v>
      </c>
      <c r="U51" s="209">
        <f>U52+U55</f>
        <v>37638</v>
      </c>
      <c r="V51" s="209">
        <f>V52+V55</f>
        <v>50521</v>
      </c>
      <c r="W51" s="209">
        <f>W52+W55</f>
        <v>43075</v>
      </c>
      <c r="X51" s="210">
        <f>IFERROR(W51/V51-1,"-")</f>
        <v>-0.14738425605193883</v>
      </c>
      <c r="Y51" s="210">
        <f t="shared" si="10"/>
        <v>3.0051139005113905</v>
      </c>
      <c r="Z51" s="210">
        <f t="shared" ref="Z51:Z63" si="23">U51/U$9</f>
        <v>9.9653867101170725E-3</v>
      </c>
    </row>
    <row r="52" spans="1:26" x14ac:dyDescent="0.25">
      <c r="A52" s="1" t="s">
        <v>98</v>
      </c>
      <c r="B52" s="190" t="s">
        <v>99</v>
      </c>
      <c r="C52" s="191">
        <v>0</v>
      </c>
      <c r="D52" s="191">
        <v>0</v>
      </c>
      <c r="E52" s="191">
        <v>0</v>
      </c>
      <c r="F52" s="191">
        <v>0</v>
      </c>
      <c r="G52" s="191">
        <v>0</v>
      </c>
      <c r="H52" s="192" t="str">
        <f>IFERROR(G52/F52-1,"-")</f>
        <v>-</v>
      </c>
      <c r="I52" s="211" t="str">
        <f t="shared" si="1"/>
        <v>-</v>
      </c>
      <c r="J52" s="192">
        <f>G52/G$9</f>
        <v>0</v>
      </c>
      <c r="K52" s="191">
        <v>0</v>
      </c>
      <c r="L52" s="191">
        <v>0</v>
      </c>
      <c r="M52" s="191">
        <v>0</v>
      </c>
      <c r="N52" s="191">
        <v>0</v>
      </c>
      <c r="O52" s="191">
        <v>0</v>
      </c>
      <c r="P52" s="192" t="str">
        <f>IFERROR(O52/N52-1,"-")</f>
        <v>-</v>
      </c>
      <c r="Q52" s="211" t="str">
        <f t="shared" si="9"/>
        <v>-</v>
      </c>
      <c r="R52" s="192">
        <f>O52/O$9</f>
        <v>0</v>
      </c>
      <c r="S52" s="191">
        <v>1989</v>
      </c>
      <c r="T52" s="191">
        <v>4950</v>
      </c>
      <c r="U52" s="191">
        <v>6738</v>
      </c>
      <c r="V52" s="191">
        <v>20078</v>
      </c>
      <c r="W52" s="191">
        <v>10886</v>
      </c>
      <c r="X52" s="192">
        <f>IFERROR(W52/V52-1,"-")</f>
        <v>-0.45781452335890027</v>
      </c>
      <c r="Y52" s="211">
        <f t="shared" si="10"/>
        <v>4.4731020613373556</v>
      </c>
      <c r="Z52" s="192">
        <f t="shared" si="23"/>
        <v>1.7840155070080461E-3</v>
      </c>
    </row>
    <row r="53" spans="1:26" x14ac:dyDescent="0.25">
      <c r="A53" s="193" t="s">
        <v>105</v>
      </c>
      <c r="B53" s="194" t="s">
        <v>105</v>
      </c>
      <c r="C53" s="195">
        <v>0</v>
      </c>
      <c r="D53" s="195">
        <v>0</v>
      </c>
      <c r="E53" s="195">
        <v>0</v>
      </c>
      <c r="F53" s="195">
        <v>0</v>
      </c>
      <c r="G53" s="195">
        <v>0</v>
      </c>
      <c r="H53" s="196" t="str">
        <f>IFERROR(G53/F53-1,"-")</f>
        <v>-</v>
      </c>
      <c r="I53" s="212" t="str">
        <f t="shared" si="1"/>
        <v>-</v>
      </c>
      <c r="J53" s="196">
        <f>G53/G$9</f>
        <v>0</v>
      </c>
      <c r="K53" s="195">
        <v>0</v>
      </c>
      <c r="L53" s="195">
        <v>0</v>
      </c>
      <c r="M53" s="195">
        <v>0</v>
      </c>
      <c r="N53" s="195">
        <v>0</v>
      </c>
      <c r="O53" s="195">
        <v>0</v>
      </c>
      <c r="P53" s="196" t="str">
        <f>IFERROR(O53/N53-1,"-")</f>
        <v>-</v>
      </c>
      <c r="Q53" s="212" t="str">
        <f t="shared" si="9"/>
        <v>-</v>
      </c>
      <c r="R53" s="196">
        <f>O53/O$9</f>
        <v>0</v>
      </c>
      <c r="S53" s="195">
        <v>1487</v>
      </c>
      <c r="T53" s="195">
        <v>2415</v>
      </c>
      <c r="U53" s="195">
        <v>3508</v>
      </c>
      <c r="V53" s="195">
        <v>14700</v>
      </c>
      <c r="W53" s="195">
        <v>7147</v>
      </c>
      <c r="X53" s="196">
        <f>IFERROR(W53/V53-1,"-")</f>
        <v>-0.51380952380952383</v>
      </c>
      <c r="Y53" s="212">
        <f t="shared" si="10"/>
        <v>3.8063214525891054</v>
      </c>
      <c r="Z53" s="196">
        <f t="shared" si="23"/>
        <v>9.2881068545328373E-4</v>
      </c>
    </row>
    <row r="54" spans="1:26" x14ac:dyDescent="0.25">
      <c r="A54" s="193" t="s">
        <v>102</v>
      </c>
      <c r="B54" s="194" t="s">
        <v>102</v>
      </c>
      <c r="C54" s="195">
        <v>0</v>
      </c>
      <c r="D54" s="195">
        <v>0</v>
      </c>
      <c r="E54" s="195">
        <v>0</v>
      </c>
      <c r="F54" s="195">
        <v>0</v>
      </c>
      <c r="G54" s="195">
        <v>0</v>
      </c>
      <c r="H54" s="196" t="str">
        <f>IFERROR(G54/F54-1,"-")</f>
        <v>-</v>
      </c>
      <c r="I54" s="212" t="str">
        <f t="shared" si="1"/>
        <v>-</v>
      </c>
      <c r="J54" s="196">
        <f>G54/G$9</f>
        <v>0</v>
      </c>
      <c r="K54" s="195">
        <v>0</v>
      </c>
      <c r="L54" s="195">
        <v>0</v>
      </c>
      <c r="M54" s="195">
        <v>0</v>
      </c>
      <c r="N54" s="195">
        <v>0</v>
      </c>
      <c r="O54" s="195">
        <v>0</v>
      </c>
      <c r="P54" s="196" t="str">
        <f>IFERROR(O54/N54-1,"-")</f>
        <v>-</v>
      </c>
      <c r="Q54" s="212" t="str">
        <f t="shared" si="9"/>
        <v>-</v>
      </c>
      <c r="R54" s="196">
        <f>O54/O$9</f>
        <v>0</v>
      </c>
      <c r="S54" s="195">
        <v>502</v>
      </c>
      <c r="T54" s="195">
        <v>2535</v>
      </c>
      <c r="U54" s="195">
        <v>3230</v>
      </c>
      <c r="V54" s="195">
        <v>5378</v>
      </c>
      <c r="W54" s="195">
        <v>3739</v>
      </c>
      <c r="X54" s="196">
        <f>IFERROR(W54/V54-1,"-")</f>
        <v>-0.30476013387876533</v>
      </c>
      <c r="Y54" s="212">
        <f t="shared" si="10"/>
        <v>6.4482071713147411</v>
      </c>
      <c r="Z54" s="196">
        <f t="shared" si="23"/>
        <v>8.552048215547624E-4</v>
      </c>
    </row>
    <row r="55" spans="1:26" x14ac:dyDescent="0.25">
      <c r="A55" s="1" t="s">
        <v>148</v>
      </c>
      <c r="B55" s="190" t="s">
        <v>109</v>
      </c>
      <c r="C55" s="191">
        <v>0</v>
      </c>
      <c r="D55" s="191">
        <v>0</v>
      </c>
      <c r="E55" s="191">
        <v>0</v>
      </c>
      <c r="F55" s="191">
        <v>0</v>
      </c>
      <c r="G55" s="191">
        <v>0</v>
      </c>
      <c r="H55" s="192" t="str">
        <f>IFERROR(G55/F55-1,"-")</f>
        <v>-</v>
      </c>
      <c r="I55" s="211" t="str">
        <f t="shared" si="1"/>
        <v>-</v>
      </c>
      <c r="J55" s="192">
        <f>G55/G$9</f>
        <v>0</v>
      </c>
      <c r="K55" s="191">
        <v>0</v>
      </c>
      <c r="L55" s="191">
        <v>0</v>
      </c>
      <c r="M55" s="191">
        <v>0</v>
      </c>
      <c r="N55" s="191">
        <v>0</v>
      </c>
      <c r="O55" s="191">
        <v>0</v>
      </c>
      <c r="P55" s="192" t="str">
        <f>IFERROR(O55/N55-1,"-")</f>
        <v>-</v>
      </c>
      <c r="Q55" s="211" t="str">
        <f t="shared" si="9"/>
        <v>-</v>
      </c>
      <c r="R55" s="192">
        <f>O55/O$9</f>
        <v>0</v>
      </c>
      <c r="S55" s="191">
        <v>8766</v>
      </c>
      <c r="T55" s="191">
        <v>15211</v>
      </c>
      <c r="U55" s="191">
        <v>30900</v>
      </c>
      <c r="V55" s="191">
        <v>30443</v>
      </c>
      <c r="W55" s="191">
        <v>32189</v>
      </c>
      <c r="X55" s="192">
        <f>IFERROR(W55/V55-1,"-")</f>
        <v>5.7353086095325745E-2</v>
      </c>
      <c r="Y55" s="211">
        <f t="shared" si="10"/>
        <v>2.6720282911248003</v>
      </c>
      <c r="Z55" s="192">
        <f t="shared" si="23"/>
        <v>8.1813712031090276E-3</v>
      </c>
    </row>
    <row r="56" spans="1:26" x14ac:dyDescent="0.25">
      <c r="A56" s="193" t="s">
        <v>112</v>
      </c>
      <c r="B56" s="194" t="s">
        <v>112</v>
      </c>
      <c r="C56" s="195">
        <v>0</v>
      </c>
      <c r="D56" s="195">
        <v>0</v>
      </c>
      <c r="E56" s="195">
        <v>0</v>
      </c>
      <c r="F56" s="195">
        <v>0</v>
      </c>
      <c r="G56" s="195">
        <v>0</v>
      </c>
      <c r="H56" s="196" t="str">
        <f t="shared" ref="H56:H63" si="24">IFERROR(G56/F56-1,"-")</f>
        <v>-</v>
      </c>
      <c r="I56" s="212" t="str">
        <f t="shared" si="1"/>
        <v>-</v>
      </c>
      <c r="J56" s="196">
        <f t="shared" ref="J56:J63" si="25">G56/G$9</f>
        <v>0</v>
      </c>
      <c r="K56" s="195">
        <v>0</v>
      </c>
      <c r="L56" s="195">
        <v>0</v>
      </c>
      <c r="M56" s="195">
        <v>0</v>
      </c>
      <c r="N56" s="195">
        <v>0</v>
      </c>
      <c r="O56" s="195">
        <v>0</v>
      </c>
      <c r="P56" s="196" t="str">
        <f t="shared" ref="P56:P63" si="26">IFERROR(O56/N56-1,"-")</f>
        <v>-</v>
      </c>
      <c r="Q56" s="212" t="str">
        <f t="shared" si="9"/>
        <v>-</v>
      </c>
      <c r="R56" s="196">
        <f t="shared" ref="R56:R63" si="27">O56/O$9</f>
        <v>0</v>
      </c>
      <c r="S56" s="195">
        <v>2464</v>
      </c>
      <c r="T56" s="195">
        <v>3030</v>
      </c>
      <c r="U56" s="195">
        <v>10329</v>
      </c>
      <c r="V56" s="195">
        <v>9247</v>
      </c>
      <c r="W56" s="195">
        <v>10942</v>
      </c>
      <c r="X56" s="196">
        <f t="shared" ref="X56:X63" si="28">IFERROR(W56/V56-1,"-")</f>
        <v>0.18330269276522104</v>
      </c>
      <c r="Y56" s="212">
        <f t="shared" si="10"/>
        <v>3.4407467532467528</v>
      </c>
      <c r="Z56" s="196">
        <f t="shared" si="23"/>
        <v>2.7348020439130465E-3</v>
      </c>
    </row>
    <row r="57" spans="1:26" x14ac:dyDescent="0.25">
      <c r="A57" s="193" t="s">
        <v>115</v>
      </c>
      <c r="B57" s="194" t="s">
        <v>115</v>
      </c>
      <c r="C57" s="195">
        <v>0</v>
      </c>
      <c r="D57" s="195">
        <v>0</v>
      </c>
      <c r="E57" s="195">
        <v>0</v>
      </c>
      <c r="F57" s="195">
        <v>0</v>
      </c>
      <c r="G57" s="195">
        <v>0</v>
      </c>
      <c r="H57" s="196" t="str">
        <f t="shared" si="24"/>
        <v>-</v>
      </c>
      <c r="I57" s="212" t="str">
        <f t="shared" si="1"/>
        <v>-</v>
      </c>
      <c r="J57" s="196">
        <f t="shared" si="25"/>
        <v>0</v>
      </c>
      <c r="K57" s="195">
        <v>0</v>
      </c>
      <c r="L57" s="195">
        <v>0</v>
      </c>
      <c r="M57" s="195">
        <v>0</v>
      </c>
      <c r="N57" s="195">
        <v>0</v>
      </c>
      <c r="O57" s="195">
        <v>0</v>
      </c>
      <c r="P57" s="196" t="str">
        <f t="shared" si="26"/>
        <v>-</v>
      </c>
      <c r="Q57" s="212" t="str">
        <f t="shared" si="9"/>
        <v>-</v>
      </c>
      <c r="R57" s="196">
        <f t="shared" si="27"/>
        <v>0</v>
      </c>
      <c r="S57" s="195">
        <v>2785</v>
      </c>
      <c r="T57" s="195">
        <v>5150</v>
      </c>
      <c r="U57" s="195">
        <v>6783</v>
      </c>
      <c r="V57" s="195">
        <v>6068</v>
      </c>
      <c r="W57" s="195">
        <v>6432</v>
      </c>
      <c r="X57" s="196">
        <f t="shared" si="28"/>
        <v>5.9986816084377059E-2</v>
      </c>
      <c r="Y57" s="212">
        <f t="shared" si="10"/>
        <v>1.3095152603231597</v>
      </c>
      <c r="Z57" s="196">
        <f t="shared" si="23"/>
        <v>1.7959301252650009E-3</v>
      </c>
    </row>
    <row r="58" spans="1:26" x14ac:dyDescent="0.25">
      <c r="A58" s="193" t="s">
        <v>118</v>
      </c>
      <c r="B58" s="194" t="s">
        <v>118</v>
      </c>
      <c r="C58" s="195">
        <v>0</v>
      </c>
      <c r="D58" s="195">
        <v>0</v>
      </c>
      <c r="E58" s="195">
        <v>0</v>
      </c>
      <c r="F58" s="195">
        <v>0</v>
      </c>
      <c r="G58" s="195">
        <v>0</v>
      </c>
      <c r="H58" s="196" t="str">
        <f t="shared" si="24"/>
        <v>-</v>
      </c>
      <c r="I58" s="212" t="str">
        <f t="shared" si="1"/>
        <v>-</v>
      </c>
      <c r="J58" s="196">
        <f t="shared" si="25"/>
        <v>0</v>
      </c>
      <c r="K58" s="195">
        <v>0</v>
      </c>
      <c r="L58" s="195">
        <v>0</v>
      </c>
      <c r="M58" s="195">
        <v>0</v>
      </c>
      <c r="N58" s="195">
        <v>0</v>
      </c>
      <c r="O58" s="195">
        <v>0</v>
      </c>
      <c r="P58" s="196" t="str">
        <f t="shared" si="26"/>
        <v>-</v>
      </c>
      <c r="Q58" s="212" t="str">
        <f t="shared" si="9"/>
        <v>-</v>
      </c>
      <c r="R58" s="196">
        <f t="shared" si="27"/>
        <v>0</v>
      </c>
      <c r="S58" s="195">
        <v>488</v>
      </c>
      <c r="T58" s="195">
        <v>1642</v>
      </c>
      <c r="U58" s="195">
        <v>2739</v>
      </c>
      <c r="V58" s="195">
        <v>2907</v>
      </c>
      <c r="W58" s="195">
        <v>2287</v>
      </c>
      <c r="X58" s="196">
        <f t="shared" si="28"/>
        <v>-0.21327829377364982</v>
      </c>
      <c r="Y58" s="212">
        <f t="shared" si="10"/>
        <v>3.6864754098360653</v>
      </c>
      <c r="Z58" s="196">
        <f t="shared" si="23"/>
        <v>7.2520309790665457E-4</v>
      </c>
    </row>
    <row r="59" spans="1:26" x14ac:dyDescent="0.25">
      <c r="A59" s="193" t="s">
        <v>125</v>
      </c>
      <c r="B59" s="194" t="s">
        <v>125</v>
      </c>
      <c r="C59" s="195">
        <v>0</v>
      </c>
      <c r="D59" s="195">
        <v>0</v>
      </c>
      <c r="E59" s="195">
        <v>0</v>
      </c>
      <c r="F59" s="195">
        <v>0</v>
      </c>
      <c r="G59" s="195">
        <v>0</v>
      </c>
      <c r="H59" s="196" t="str">
        <f t="shared" si="24"/>
        <v>-</v>
      </c>
      <c r="I59" s="212" t="str">
        <f t="shared" si="1"/>
        <v>-</v>
      </c>
      <c r="J59" s="196">
        <f t="shared" si="25"/>
        <v>0</v>
      </c>
      <c r="K59" s="195">
        <v>0</v>
      </c>
      <c r="L59" s="195">
        <v>0</v>
      </c>
      <c r="M59" s="195">
        <v>0</v>
      </c>
      <c r="N59" s="195">
        <v>0</v>
      </c>
      <c r="O59" s="195">
        <v>0</v>
      </c>
      <c r="P59" s="196" t="str">
        <f t="shared" si="26"/>
        <v>-</v>
      </c>
      <c r="Q59" s="212" t="str">
        <f t="shared" si="9"/>
        <v>-</v>
      </c>
      <c r="R59" s="196">
        <f t="shared" si="27"/>
        <v>0</v>
      </c>
      <c r="S59" s="195">
        <v>271</v>
      </c>
      <c r="T59" s="195">
        <v>377</v>
      </c>
      <c r="U59" s="195">
        <v>866</v>
      </c>
      <c r="V59" s="195">
        <v>806</v>
      </c>
      <c r="W59" s="195">
        <v>1078</v>
      </c>
      <c r="X59" s="196">
        <f t="shared" si="28"/>
        <v>0.33746898263027303</v>
      </c>
      <c r="Y59" s="212">
        <f t="shared" si="10"/>
        <v>2.9778597785977858</v>
      </c>
      <c r="Z59" s="196">
        <f t="shared" si="23"/>
        <v>2.2929020912273196E-4</v>
      </c>
    </row>
    <row r="60" spans="1:26" x14ac:dyDescent="0.25">
      <c r="A60" s="193" t="s">
        <v>121</v>
      </c>
      <c r="B60" s="194" t="s">
        <v>121</v>
      </c>
      <c r="C60" s="195">
        <v>0</v>
      </c>
      <c r="D60" s="195">
        <v>0</v>
      </c>
      <c r="E60" s="195">
        <v>0</v>
      </c>
      <c r="F60" s="195">
        <v>0</v>
      </c>
      <c r="G60" s="195">
        <v>0</v>
      </c>
      <c r="H60" s="196" t="str">
        <f t="shared" si="24"/>
        <v>-</v>
      </c>
      <c r="I60" s="212" t="str">
        <f t="shared" si="1"/>
        <v>-</v>
      </c>
      <c r="J60" s="196">
        <f t="shared" si="25"/>
        <v>0</v>
      </c>
      <c r="K60" s="195">
        <v>0</v>
      </c>
      <c r="L60" s="195">
        <v>0</v>
      </c>
      <c r="M60" s="195">
        <v>0</v>
      </c>
      <c r="N60" s="195">
        <v>0</v>
      </c>
      <c r="O60" s="195">
        <v>0</v>
      </c>
      <c r="P60" s="196" t="str">
        <f t="shared" si="26"/>
        <v>-</v>
      </c>
      <c r="Q60" s="212" t="str">
        <f t="shared" si="9"/>
        <v>-</v>
      </c>
      <c r="R60" s="196">
        <f t="shared" si="27"/>
        <v>0</v>
      </c>
      <c r="S60" s="195">
        <v>177</v>
      </c>
      <c r="T60" s="195">
        <v>476</v>
      </c>
      <c r="U60" s="195">
        <v>649</v>
      </c>
      <c r="V60" s="195">
        <v>683</v>
      </c>
      <c r="W60" s="195">
        <v>802</v>
      </c>
      <c r="X60" s="196">
        <f t="shared" si="28"/>
        <v>0.17423133235724753</v>
      </c>
      <c r="Y60" s="212">
        <f t="shared" si="10"/>
        <v>3.5310734463276834</v>
      </c>
      <c r="Z60" s="196">
        <f t="shared" si="23"/>
        <v>1.7183527219474947E-4</v>
      </c>
    </row>
    <row r="61" spans="1:26" x14ac:dyDescent="0.25">
      <c r="A61" s="193" t="s">
        <v>130</v>
      </c>
      <c r="B61" s="194" t="s">
        <v>130</v>
      </c>
      <c r="C61" s="195">
        <v>0</v>
      </c>
      <c r="D61" s="195">
        <v>0</v>
      </c>
      <c r="E61" s="195">
        <v>0</v>
      </c>
      <c r="F61" s="195">
        <v>0</v>
      </c>
      <c r="G61" s="195">
        <v>0</v>
      </c>
      <c r="H61" s="196" t="str">
        <f t="shared" si="24"/>
        <v>-</v>
      </c>
      <c r="I61" s="212" t="str">
        <f t="shared" si="1"/>
        <v>-</v>
      </c>
      <c r="J61" s="196">
        <f t="shared" si="25"/>
        <v>0</v>
      </c>
      <c r="K61" s="195">
        <v>0</v>
      </c>
      <c r="L61" s="195">
        <v>0</v>
      </c>
      <c r="M61" s="195">
        <v>0</v>
      </c>
      <c r="N61" s="195">
        <v>0</v>
      </c>
      <c r="O61" s="195">
        <v>0</v>
      </c>
      <c r="P61" s="196" t="str">
        <f t="shared" si="26"/>
        <v>-</v>
      </c>
      <c r="Q61" s="212" t="str">
        <f t="shared" si="9"/>
        <v>-</v>
      </c>
      <c r="R61" s="196">
        <f t="shared" si="27"/>
        <v>0</v>
      </c>
      <c r="S61" s="195">
        <v>76</v>
      </c>
      <c r="T61" s="195">
        <v>98</v>
      </c>
      <c r="U61" s="195">
        <v>132</v>
      </c>
      <c r="V61" s="195">
        <v>239</v>
      </c>
      <c r="W61" s="195">
        <v>141</v>
      </c>
      <c r="X61" s="196">
        <f t="shared" si="28"/>
        <v>-0.41004184100418406</v>
      </c>
      <c r="Y61" s="212">
        <f t="shared" si="10"/>
        <v>0.85526315789473695</v>
      </c>
      <c r="Z61" s="196">
        <f t="shared" si="23"/>
        <v>3.4949546887067689E-5</v>
      </c>
    </row>
    <row r="62" spans="1:26" x14ac:dyDescent="0.25">
      <c r="A62" s="193" t="s">
        <v>133</v>
      </c>
      <c r="B62" s="194" t="s">
        <v>133</v>
      </c>
      <c r="C62" s="195">
        <v>0</v>
      </c>
      <c r="D62" s="195">
        <v>0</v>
      </c>
      <c r="E62" s="195">
        <v>0</v>
      </c>
      <c r="F62" s="195">
        <v>0</v>
      </c>
      <c r="G62" s="195">
        <v>0</v>
      </c>
      <c r="H62" s="196" t="str">
        <f t="shared" si="24"/>
        <v>-</v>
      </c>
      <c r="I62" s="212" t="str">
        <f t="shared" si="1"/>
        <v>-</v>
      </c>
      <c r="J62" s="196">
        <f t="shared" si="25"/>
        <v>0</v>
      </c>
      <c r="K62" s="195">
        <v>0</v>
      </c>
      <c r="L62" s="195">
        <v>0</v>
      </c>
      <c r="M62" s="195">
        <v>0</v>
      </c>
      <c r="N62" s="195">
        <v>0</v>
      </c>
      <c r="O62" s="195">
        <v>0</v>
      </c>
      <c r="P62" s="196" t="str">
        <f t="shared" si="26"/>
        <v>-</v>
      </c>
      <c r="Q62" s="212" t="str">
        <f t="shared" si="9"/>
        <v>-</v>
      </c>
      <c r="R62" s="196">
        <f t="shared" si="27"/>
        <v>0</v>
      </c>
      <c r="S62" s="195">
        <v>121</v>
      </c>
      <c r="T62" s="195">
        <v>91</v>
      </c>
      <c r="U62" s="195">
        <v>153</v>
      </c>
      <c r="V62" s="195">
        <v>195</v>
      </c>
      <c r="W62" s="195">
        <v>154</v>
      </c>
      <c r="X62" s="196">
        <f t="shared" si="28"/>
        <v>-0.21025641025641029</v>
      </c>
      <c r="Y62" s="212">
        <f t="shared" si="10"/>
        <v>0.27272727272727271</v>
      </c>
      <c r="Z62" s="196">
        <f t="shared" si="23"/>
        <v>4.0509702073646636E-5</v>
      </c>
    </row>
    <row r="63" spans="1:26" x14ac:dyDescent="0.25">
      <c r="A63" s="198" t="s">
        <v>147</v>
      </c>
      <c r="B63" s="199" t="s">
        <v>147</v>
      </c>
      <c r="C63" s="200">
        <f>C55-SUM(C56:C62)</f>
        <v>0</v>
      </c>
      <c r="D63" s="200">
        <f>D55-SUM(D56:D62)</f>
        <v>0</v>
      </c>
      <c r="E63" s="200">
        <f>E55-SUM(E56:E62)</f>
        <v>0</v>
      </c>
      <c r="F63" s="200">
        <f>F55-SUM(F56:F62)</f>
        <v>0</v>
      </c>
      <c r="G63" s="200">
        <f>G55-SUM(G56:G62)</f>
        <v>0</v>
      </c>
      <c r="H63" s="201" t="str">
        <f t="shared" si="24"/>
        <v>-</v>
      </c>
      <c r="I63" s="213" t="str">
        <f t="shared" si="1"/>
        <v>-</v>
      </c>
      <c r="J63" s="201">
        <f t="shared" si="25"/>
        <v>0</v>
      </c>
      <c r="K63" s="200">
        <f>K55-SUM(K56:K62)</f>
        <v>0</v>
      </c>
      <c r="L63" s="200">
        <f>L55-SUM(L56:L62)</f>
        <v>0</v>
      </c>
      <c r="M63" s="200">
        <f>M55-SUM(M56:M62)</f>
        <v>0</v>
      </c>
      <c r="N63" s="200">
        <f>N55-SUM(N56:N62)</f>
        <v>0</v>
      </c>
      <c r="O63" s="200">
        <f>O55-SUM(O56:O62)</f>
        <v>0</v>
      </c>
      <c r="P63" s="201" t="str">
        <f t="shared" si="26"/>
        <v>-</v>
      </c>
      <c r="Q63" s="213" t="str">
        <f t="shared" si="9"/>
        <v>-</v>
      </c>
      <c r="R63" s="201">
        <f t="shared" si="27"/>
        <v>0</v>
      </c>
      <c r="S63" s="200">
        <f>S55-SUM(S56:S62)</f>
        <v>2384</v>
      </c>
      <c r="T63" s="200">
        <f>T55-SUM(T56:T62)</f>
        <v>4347</v>
      </c>
      <c r="U63" s="200">
        <f>U55-SUM(U56:U62)</f>
        <v>9249</v>
      </c>
      <c r="V63" s="200">
        <f>V55-SUM(V56:V62)</f>
        <v>10298</v>
      </c>
      <c r="W63" s="200">
        <f>W55-SUM(W56:W62)</f>
        <v>10353</v>
      </c>
      <c r="X63" s="201">
        <f t="shared" si="28"/>
        <v>5.3408428821131171E-3</v>
      </c>
      <c r="Y63" s="213">
        <f t="shared" si="10"/>
        <v>3.3427013422818792</v>
      </c>
      <c r="Z63" s="201">
        <f t="shared" si="23"/>
        <v>2.4488512057461291E-3</v>
      </c>
    </row>
    <row r="64" spans="1:26" x14ac:dyDescent="0.25">
      <c r="A64" s="1"/>
      <c r="B64" s="186" t="s">
        <v>49</v>
      </c>
      <c r="C64" s="184"/>
      <c r="D64" s="184"/>
      <c r="E64" s="184"/>
      <c r="F64" s="184"/>
      <c r="G64" s="184"/>
      <c r="H64" s="184"/>
      <c r="I64" s="184"/>
      <c r="J64" s="184"/>
      <c r="K64" s="184"/>
      <c r="L64" s="184"/>
      <c r="M64" s="184"/>
      <c r="N64" s="184"/>
      <c r="O64" s="184"/>
      <c r="P64" s="184"/>
      <c r="Q64" s="184"/>
      <c r="R64" s="184"/>
      <c r="S64" s="184"/>
      <c r="T64" s="184"/>
      <c r="U64" s="184"/>
      <c r="V64" s="184"/>
      <c r="W64" s="184"/>
      <c r="X64" s="184"/>
      <c r="Y64" s="184"/>
      <c r="Z64" s="184"/>
    </row>
    <row r="65" spans="1:26" x14ac:dyDescent="0.25">
      <c r="A65" s="1" t="s">
        <v>0</v>
      </c>
      <c r="B65" s="187" t="s">
        <v>70</v>
      </c>
      <c r="C65" s="209">
        <f>C66+C69</f>
        <v>0</v>
      </c>
      <c r="D65" s="209">
        <f>D66+D69</f>
        <v>0</v>
      </c>
      <c r="E65" s="209">
        <f>E66+E69</f>
        <v>0</v>
      </c>
      <c r="F65" s="209">
        <f>F66+F69</f>
        <v>0</v>
      </c>
      <c r="G65" s="209">
        <f>G66+G69</f>
        <v>0</v>
      </c>
      <c r="H65" s="210" t="str">
        <f>IFERROR(G65/F65-1,"-")</f>
        <v>-</v>
      </c>
      <c r="I65" s="210" t="str">
        <f t="shared" si="1"/>
        <v>-</v>
      </c>
      <c r="J65" s="210">
        <f>G65/G$9</f>
        <v>0</v>
      </c>
      <c r="K65" s="209">
        <f>K66+K69</f>
        <v>0</v>
      </c>
      <c r="L65" s="209">
        <f>L66+L69</f>
        <v>0</v>
      </c>
      <c r="M65" s="209">
        <f>M66+M69</f>
        <v>0</v>
      </c>
      <c r="N65" s="209">
        <f>N66+N69</f>
        <v>0</v>
      </c>
      <c r="O65" s="209">
        <f>O66+O69</f>
        <v>0</v>
      </c>
      <c r="P65" s="210" t="str">
        <f>IFERROR(O65/N65-1,"-")</f>
        <v>-</v>
      </c>
      <c r="Q65" s="210" t="str">
        <f t="shared" si="9"/>
        <v>-</v>
      </c>
      <c r="R65" s="210">
        <f>O65/O$9</f>
        <v>0</v>
      </c>
      <c r="S65" s="209">
        <f>S66+S69</f>
        <v>54073</v>
      </c>
      <c r="T65" s="209">
        <f>T66+T69</f>
        <v>62020</v>
      </c>
      <c r="U65" s="209">
        <f>U66+U69</f>
        <v>151473</v>
      </c>
      <c r="V65" s="209">
        <f>V66+V69</f>
        <v>170958</v>
      </c>
      <c r="W65" s="209">
        <f>W66+W69</f>
        <v>191595</v>
      </c>
      <c r="X65" s="210">
        <f>IFERROR(W65/V65-1,"-")</f>
        <v>0.12071385954444946</v>
      </c>
      <c r="Y65" s="210">
        <f t="shared" si="10"/>
        <v>2.5432655854123132</v>
      </c>
      <c r="Z65" s="210">
        <f t="shared" ref="Z65:Z77" si="29">U65/U$9</f>
        <v>4.0105399360793971E-2</v>
      </c>
    </row>
    <row r="66" spans="1:26" x14ac:dyDescent="0.25">
      <c r="A66" s="1" t="s">
        <v>98</v>
      </c>
      <c r="B66" s="190" t="s">
        <v>99</v>
      </c>
      <c r="C66" s="191">
        <v>0</v>
      </c>
      <c r="D66" s="191">
        <v>0</v>
      </c>
      <c r="E66" s="191">
        <v>0</v>
      </c>
      <c r="F66" s="191">
        <v>0</v>
      </c>
      <c r="G66" s="191">
        <v>0</v>
      </c>
      <c r="H66" s="192" t="str">
        <f>IFERROR(G66/F66-1,"-")</f>
        <v>-</v>
      </c>
      <c r="I66" s="211" t="str">
        <f t="shared" si="1"/>
        <v>-</v>
      </c>
      <c r="J66" s="192">
        <f>G66/G$9</f>
        <v>0</v>
      </c>
      <c r="K66" s="191">
        <v>0</v>
      </c>
      <c r="L66" s="191">
        <v>0</v>
      </c>
      <c r="M66" s="191">
        <v>0</v>
      </c>
      <c r="N66" s="191">
        <v>0</v>
      </c>
      <c r="O66" s="191">
        <v>0</v>
      </c>
      <c r="P66" s="192" t="str">
        <f>IFERROR(O66/N66-1,"-")</f>
        <v>-</v>
      </c>
      <c r="Q66" s="211" t="str">
        <f t="shared" si="9"/>
        <v>-</v>
      </c>
      <c r="R66" s="192">
        <f>O66/O$9</f>
        <v>0</v>
      </c>
      <c r="S66" s="191">
        <v>24032</v>
      </c>
      <c r="T66" s="191">
        <v>25803</v>
      </c>
      <c r="U66" s="191">
        <v>30941</v>
      </c>
      <c r="V66" s="191">
        <v>45548</v>
      </c>
      <c r="W66" s="191">
        <v>58550</v>
      </c>
      <c r="X66" s="192">
        <f>IFERROR(W66/V66-1,"-")</f>
        <v>0.28545710020198478</v>
      </c>
      <c r="Y66" s="211">
        <f t="shared" si="10"/>
        <v>1.4363348868175767</v>
      </c>
      <c r="Z66" s="192">
        <f t="shared" si="29"/>
        <v>8.1922267441875852E-3</v>
      </c>
    </row>
    <row r="67" spans="1:26" x14ac:dyDescent="0.25">
      <c r="A67" s="193" t="s">
        <v>105</v>
      </c>
      <c r="B67" s="194" t="s">
        <v>105</v>
      </c>
      <c r="C67" s="195">
        <v>0</v>
      </c>
      <c r="D67" s="195">
        <v>0</v>
      </c>
      <c r="E67" s="195">
        <v>0</v>
      </c>
      <c r="F67" s="195">
        <v>0</v>
      </c>
      <c r="G67" s="195">
        <v>0</v>
      </c>
      <c r="H67" s="196" t="str">
        <f>IFERROR(G67/F67-1,"-")</f>
        <v>-</v>
      </c>
      <c r="I67" s="212" t="str">
        <f t="shared" si="1"/>
        <v>-</v>
      </c>
      <c r="J67" s="196">
        <f>G67/G$9</f>
        <v>0</v>
      </c>
      <c r="K67" s="195">
        <v>0</v>
      </c>
      <c r="L67" s="195">
        <v>0</v>
      </c>
      <c r="M67" s="195">
        <v>0</v>
      </c>
      <c r="N67" s="195">
        <v>0</v>
      </c>
      <c r="O67" s="195">
        <v>0</v>
      </c>
      <c r="P67" s="196" t="str">
        <f>IFERROR(O67/N67-1,"-")</f>
        <v>-</v>
      </c>
      <c r="Q67" s="212" t="str">
        <f t="shared" si="9"/>
        <v>-</v>
      </c>
      <c r="R67" s="196">
        <f>O67/O$9</f>
        <v>0</v>
      </c>
      <c r="S67" s="195">
        <v>8814</v>
      </c>
      <c r="T67" s="195">
        <v>21207</v>
      </c>
      <c r="U67" s="195">
        <v>22920</v>
      </c>
      <c r="V67" s="195">
        <v>31464</v>
      </c>
      <c r="W67" s="195">
        <v>34800</v>
      </c>
      <c r="X67" s="196">
        <f>IFERROR(W67/V67-1,"-")</f>
        <v>0.10602593440122043</v>
      </c>
      <c r="Y67" s="212">
        <f t="shared" si="10"/>
        <v>2.9482641252552755</v>
      </c>
      <c r="Z67" s="196">
        <f t="shared" si="29"/>
        <v>6.0685122322090262E-3</v>
      </c>
    </row>
    <row r="68" spans="1:26" x14ac:dyDescent="0.25">
      <c r="A68" s="193" t="s">
        <v>102</v>
      </c>
      <c r="B68" s="194" t="s">
        <v>102</v>
      </c>
      <c r="C68" s="195">
        <v>0</v>
      </c>
      <c r="D68" s="195">
        <v>0</v>
      </c>
      <c r="E68" s="195">
        <v>0</v>
      </c>
      <c r="F68" s="195">
        <v>0</v>
      </c>
      <c r="G68" s="195">
        <v>0</v>
      </c>
      <c r="H68" s="196" t="str">
        <f>IFERROR(G68/F68-1,"-")</f>
        <v>-</v>
      </c>
      <c r="I68" s="212" t="str">
        <f t="shared" si="1"/>
        <v>-</v>
      </c>
      <c r="J68" s="196">
        <f>G68/G$9</f>
        <v>0</v>
      </c>
      <c r="K68" s="195">
        <v>0</v>
      </c>
      <c r="L68" s="195">
        <v>0</v>
      </c>
      <c r="M68" s="195">
        <v>0</v>
      </c>
      <c r="N68" s="195">
        <v>0</v>
      </c>
      <c r="O68" s="195">
        <v>0</v>
      </c>
      <c r="P68" s="196" t="str">
        <f>IFERROR(O68/N68-1,"-")</f>
        <v>-</v>
      </c>
      <c r="Q68" s="212" t="str">
        <f t="shared" si="9"/>
        <v>-</v>
      </c>
      <c r="R68" s="196">
        <f>O68/O$9</f>
        <v>0</v>
      </c>
      <c r="S68" s="195">
        <v>15218</v>
      </c>
      <c r="T68" s="195">
        <v>4596</v>
      </c>
      <c r="U68" s="195">
        <v>8021</v>
      </c>
      <c r="V68" s="195">
        <v>14084</v>
      </c>
      <c r="W68" s="195">
        <v>23750</v>
      </c>
      <c r="X68" s="196">
        <f>IFERROR(W68/V68-1,"-")</f>
        <v>0.68631070718545861</v>
      </c>
      <c r="Y68" s="212">
        <f t="shared" si="10"/>
        <v>0.56065185963990016</v>
      </c>
      <c r="Z68" s="196">
        <f t="shared" si="29"/>
        <v>2.1237145119785599E-3</v>
      </c>
    </row>
    <row r="69" spans="1:26" x14ac:dyDescent="0.25">
      <c r="A69" s="1" t="s">
        <v>148</v>
      </c>
      <c r="B69" s="190" t="s">
        <v>109</v>
      </c>
      <c r="C69" s="191">
        <v>0</v>
      </c>
      <c r="D69" s="191">
        <v>0</v>
      </c>
      <c r="E69" s="191">
        <v>0</v>
      </c>
      <c r="F69" s="191">
        <v>0</v>
      </c>
      <c r="G69" s="191">
        <v>0</v>
      </c>
      <c r="H69" s="192" t="str">
        <f>IFERROR(G69/F69-1,"-")</f>
        <v>-</v>
      </c>
      <c r="I69" s="211" t="str">
        <f t="shared" si="1"/>
        <v>-</v>
      </c>
      <c r="J69" s="192">
        <f>G69/G$9</f>
        <v>0</v>
      </c>
      <c r="K69" s="191">
        <v>0</v>
      </c>
      <c r="L69" s="191">
        <v>0</v>
      </c>
      <c r="M69" s="191">
        <v>0</v>
      </c>
      <c r="N69" s="191">
        <v>0</v>
      </c>
      <c r="O69" s="191">
        <v>0</v>
      </c>
      <c r="P69" s="192" t="str">
        <f>IFERROR(O69/N69-1,"-")</f>
        <v>-</v>
      </c>
      <c r="Q69" s="211" t="str">
        <f t="shared" si="9"/>
        <v>-</v>
      </c>
      <c r="R69" s="192">
        <f>O69/O$9</f>
        <v>0</v>
      </c>
      <c r="S69" s="191">
        <v>30041</v>
      </c>
      <c r="T69" s="191">
        <v>36217</v>
      </c>
      <c r="U69" s="191">
        <v>120532</v>
      </c>
      <c r="V69" s="191">
        <v>125410</v>
      </c>
      <c r="W69" s="191">
        <v>133045</v>
      </c>
      <c r="X69" s="192">
        <f>IFERROR(W69/V69-1,"-")</f>
        <v>6.0880312574754791E-2</v>
      </c>
      <c r="Y69" s="211">
        <f t="shared" si="10"/>
        <v>3.428780666422556</v>
      </c>
      <c r="Z69" s="192">
        <f t="shared" si="29"/>
        <v>3.1913172616606381E-2</v>
      </c>
    </row>
    <row r="70" spans="1:26" x14ac:dyDescent="0.25">
      <c r="A70" s="193" t="s">
        <v>112</v>
      </c>
      <c r="B70" s="194" t="s">
        <v>112</v>
      </c>
      <c r="C70" s="195">
        <v>0</v>
      </c>
      <c r="D70" s="195">
        <v>0</v>
      </c>
      <c r="E70" s="195">
        <v>0</v>
      </c>
      <c r="F70" s="195">
        <v>0</v>
      </c>
      <c r="G70" s="195">
        <v>0</v>
      </c>
      <c r="H70" s="196" t="str">
        <f t="shared" ref="H70:H77" si="30">IFERROR(G70/F70-1,"-")</f>
        <v>-</v>
      </c>
      <c r="I70" s="212" t="str">
        <f t="shared" si="1"/>
        <v>-</v>
      </c>
      <c r="J70" s="196">
        <f t="shared" ref="J70:J77" si="31">G70/G$9</f>
        <v>0</v>
      </c>
      <c r="K70" s="195">
        <v>0</v>
      </c>
      <c r="L70" s="195">
        <v>0</v>
      </c>
      <c r="M70" s="195">
        <v>0</v>
      </c>
      <c r="N70" s="195">
        <v>0</v>
      </c>
      <c r="O70" s="195">
        <v>0</v>
      </c>
      <c r="P70" s="196" t="str">
        <f t="shared" ref="P70:P77" si="32">IFERROR(O70/N70-1,"-")</f>
        <v>-</v>
      </c>
      <c r="Q70" s="212" t="str">
        <f t="shared" si="9"/>
        <v>-</v>
      </c>
      <c r="R70" s="196">
        <f t="shared" ref="R70:R77" si="33">O70/O$9</f>
        <v>0</v>
      </c>
      <c r="S70" s="195">
        <v>13564</v>
      </c>
      <c r="T70" s="195">
        <v>7549</v>
      </c>
      <c r="U70" s="195">
        <v>52809</v>
      </c>
      <c r="V70" s="195">
        <v>48101</v>
      </c>
      <c r="W70" s="195">
        <v>45250</v>
      </c>
      <c r="X70" s="196">
        <f t="shared" ref="X70:X77" si="34">IFERROR(W70/V70-1,"-")</f>
        <v>-5.9271117024594089E-2</v>
      </c>
      <c r="Y70" s="212">
        <f t="shared" si="10"/>
        <v>2.3360365673842525</v>
      </c>
      <c r="Z70" s="196">
        <f t="shared" si="29"/>
        <v>1.3982201678478466E-2</v>
      </c>
    </row>
    <row r="71" spans="1:26" x14ac:dyDescent="0.25">
      <c r="A71" s="193" t="s">
        <v>115</v>
      </c>
      <c r="B71" s="194" t="s">
        <v>115</v>
      </c>
      <c r="C71" s="195">
        <v>0</v>
      </c>
      <c r="D71" s="195">
        <v>0</v>
      </c>
      <c r="E71" s="195">
        <v>0</v>
      </c>
      <c r="F71" s="195">
        <v>0</v>
      </c>
      <c r="G71" s="195">
        <v>0</v>
      </c>
      <c r="H71" s="196" t="str">
        <f t="shared" si="30"/>
        <v>-</v>
      </c>
      <c r="I71" s="212" t="str">
        <f t="shared" si="1"/>
        <v>-</v>
      </c>
      <c r="J71" s="196">
        <f t="shared" si="31"/>
        <v>0</v>
      </c>
      <c r="K71" s="195">
        <v>0</v>
      </c>
      <c r="L71" s="195">
        <v>0</v>
      </c>
      <c r="M71" s="195">
        <v>0</v>
      </c>
      <c r="N71" s="195">
        <v>0</v>
      </c>
      <c r="O71" s="195">
        <v>0</v>
      </c>
      <c r="P71" s="196" t="str">
        <f t="shared" si="32"/>
        <v>-</v>
      </c>
      <c r="Q71" s="212" t="str">
        <f t="shared" si="9"/>
        <v>-</v>
      </c>
      <c r="R71" s="196">
        <f t="shared" si="33"/>
        <v>0</v>
      </c>
      <c r="S71" s="195">
        <v>3277</v>
      </c>
      <c r="T71" s="195">
        <v>3513</v>
      </c>
      <c r="U71" s="195">
        <v>7009</v>
      </c>
      <c r="V71" s="195">
        <v>9961</v>
      </c>
      <c r="W71" s="195">
        <v>9892</v>
      </c>
      <c r="X71" s="196">
        <f t="shared" si="34"/>
        <v>-6.9270153599035877E-3</v>
      </c>
      <c r="Y71" s="212">
        <f t="shared" si="10"/>
        <v>2.0186145865120535</v>
      </c>
      <c r="Z71" s="196">
        <f t="shared" si="29"/>
        <v>1.8557679858443744E-3</v>
      </c>
    </row>
    <row r="72" spans="1:26" x14ac:dyDescent="0.25">
      <c r="A72" s="193" t="s">
        <v>118</v>
      </c>
      <c r="B72" s="194" t="s">
        <v>118</v>
      </c>
      <c r="C72" s="195">
        <v>0</v>
      </c>
      <c r="D72" s="195">
        <v>0</v>
      </c>
      <c r="E72" s="195">
        <v>0</v>
      </c>
      <c r="F72" s="195">
        <v>0</v>
      </c>
      <c r="G72" s="195">
        <v>0</v>
      </c>
      <c r="H72" s="196" t="str">
        <f t="shared" si="30"/>
        <v>-</v>
      </c>
      <c r="I72" s="212" t="str">
        <f t="shared" si="1"/>
        <v>-</v>
      </c>
      <c r="J72" s="196">
        <f t="shared" si="31"/>
        <v>0</v>
      </c>
      <c r="K72" s="195">
        <v>0</v>
      </c>
      <c r="L72" s="195">
        <v>0</v>
      </c>
      <c r="M72" s="195">
        <v>0</v>
      </c>
      <c r="N72" s="195">
        <v>0</v>
      </c>
      <c r="O72" s="195">
        <v>0</v>
      </c>
      <c r="P72" s="196" t="str">
        <f t="shared" si="32"/>
        <v>-</v>
      </c>
      <c r="Q72" s="212" t="str">
        <f t="shared" si="9"/>
        <v>-</v>
      </c>
      <c r="R72" s="196">
        <f t="shared" si="33"/>
        <v>0</v>
      </c>
      <c r="S72" s="195">
        <v>3407</v>
      </c>
      <c r="T72" s="195">
        <v>6247</v>
      </c>
      <c r="U72" s="195">
        <v>17604</v>
      </c>
      <c r="V72" s="195">
        <v>15357</v>
      </c>
      <c r="W72" s="195">
        <v>19078</v>
      </c>
      <c r="X72" s="196">
        <f t="shared" si="34"/>
        <v>0.24229992837142666</v>
      </c>
      <c r="Y72" s="212">
        <f t="shared" si="10"/>
        <v>4.599647783974171</v>
      </c>
      <c r="Z72" s="196">
        <f t="shared" si="29"/>
        <v>4.6609986621207545E-3</v>
      </c>
    </row>
    <row r="73" spans="1:26" x14ac:dyDescent="0.25">
      <c r="A73" s="193" t="s">
        <v>125</v>
      </c>
      <c r="B73" s="194" t="s">
        <v>125</v>
      </c>
      <c r="C73" s="195">
        <v>0</v>
      </c>
      <c r="D73" s="195">
        <v>0</v>
      </c>
      <c r="E73" s="195">
        <v>0</v>
      </c>
      <c r="F73" s="195">
        <v>0</v>
      </c>
      <c r="G73" s="195">
        <v>0</v>
      </c>
      <c r="H73" s="196" t="str">
        <f t="shared" si="30"/>
        <v>-</v>
      </c>
      <c r="I73" s="212" t="str">
        <f t="shared" si="1"/>
        <v>-</v>
      </c>
      <c r="J73" s="196">
        <f t="shared" si="31"/>
        <v>0</v>
      </c>
      <c r="K73" s="195">
        <v>0</v>
      </c>
      <c r="L73" s="195">
        <v>0</v>
      </c>
      <c r="M73" s="195">
        <v>0</v>
      </c>
      <c r="N73" s="195">
        <v>0</v>
      </c>
      <c r="O73" s="195">
        <v>0</v>
      </c>
      <c r="P73" s="196" t="str">
        <f t="shared" si="32"/>
        <v>-</v>
      </c>
      <c r="Q73" s="212" t="str">
        <f t="shared" si="9"/>
        <v>-</v>
      </c>
      <c r="R73" s="196">
        <f t="shared" si="33"/>
        <v>0</v>
      </c>
      <c r="S73" s="195">
        <v>502</v>
      </c>
      <c r="T73" s="195">
        <v>1777</v>
      </c>
      <c r="U73" s="195">
        <v>2468</v>
      </c>
      <c r="V73" s="195">
        <v>3478</v>
      </c>
      <c r="W73" s="195">
        <v>4281</v>
      </c>
      <c r="X73" s="196">
        <f t="shared" si="34"/>
        <v>0.23087981598619889</v>
      </c>
      <c r="Y73" s="212">
        <f t="shared" si="10"/>
        <v>7.5278884462151403</v>
      </c>
      <c r="Z73" s="196">
        <f t="shared" si="29"/>
        <v>6.5345061907032612E-4</v>
      </c>
    </row>
    <row r="74" spans="1:26" x14ac:dyDescent="0.25">
      <c r="A74" s="193" t="s">
        <v>121</v>
      </c>
      <c r="B74" s="194" t="s">
        <v>121</v>
      </c>
      <c r="C74" s="195">
        <v>0</v>
      </c>
      <c r="D74" s="195">
        <v>0</v>
      </c>
      <c r="E74" s="195">
        <v>0</v>
      </c>
      <c r="F74" s="195">
        <v>0</v>
      </c>
      <c r="G74" s="195">
        <v>0</v>
      </c>
      <c r="H74" s="196" t="str">
        <f t="shared" si="30"/>
        <v>-</v>
      </c>
      <c r="I74" s="212" t="str">
        <f t="shared" ref="I74:I137" si="35">IFERROR(G74/C74-1,"-")</f>
        <v>-</v>
      </c>
      <c r="J74" s="196">
        <f t="shared" si="31"/>
        <v>0</v>
      </c>
      <c r="K74" s="195">
        <v>0</v>
      </c>
      <c r="L74" s="195">
        <v>0</v>
      </c>
      <c r="M74" s="195">
        <v>0</v>
      </c>
      <c r="N74" s="195">
        <v>0</v>
      </c>
      <c r="O74" s="195">
        <v>0</v>
      </c>
      <c r="P74" s="196" t="str">
        <f t="shared" si="32"/>
        <v>-</v>
      </c>
      <c r="Q74" s="212" t="str">
        <f t="shared" si="9"/>
        <v>-</v>
      </c>
      <c r="R74" s="196">
        <f t="shared" si="33"/>
        <v>0</v>
      </c>
      <c r="S74" s="195">
        <v>1200</v>
      </c>
      <c r="T74" s="195">
        <v>1607</v>
      </c>
      <c r="U74" s="195">
        <v>2853</v>
      </c>
      <c r="V74" s="195">
        <v>2272</v>
      </c>
      <c r="W74" s="195">
        <v>3870</v>
      </c>
      <c r="X74" s="196">
        <f t="shared" si="34"/>
        <v>0.70334507042253525</v>
      </c>
      <c r="Y74" s="212">
        <f t="shared" si="10"/>
        <v>2.2250000000000001</v>
      </c>
      <c r="Z74" s="196">
        <f t="shared" si="29"/>
        <v>7.5538679749094029E-4</v>
      </c>
    </row>
    <row r="75" spans="1:26" x14ac:dyDescent="0.25">
      <c r="A75" s="193" t="s">
        <v>130</v>
      </c>
      <c r="B75" s="194" t="s">
        <v>130</v>
      </c>
      <c r="C75" s="195">
        <v>0</v>
      </c>
      <c r="D75" s="195">
        <v>0</v>
      </c>
      <c r="E75" s="195">
        <v>0</v>
      </c>
      <c r="F75" s="195">
        <v>0</v>
      </c>
      <c r="G75" s="195">
        <v>0</v>
      </c>
      <c r="H75" s="196" t="str">
        <f t="shared" si="30"/>
        <v>-</v>
      </c>
      <c r="I75" s="212" t="str">
        <f t="shared" si="35"/>
        <v>-</v>
      </c>
      <c r="J75" s="196">
        <f t="shared" si="31"/>
        <v>0</v>
      </c>
      <c r="K75" s="195">
        <v>0</v>
      </c>
      <c r="L75" s="195">
        <v>0</v>
      </c>
      <c r="M75" s="195">
        <v>0</v>
      </c>
      <c r="N75" s="195">
        <v>0</v>
      </c>
      <c r="O75" s="195">
        <v>0</v>
      </c>
      <c r="P75" s="196" t="str">
        <f t="shared" si="32"/>
        <v>-</v>
      </c>
      <c r="Q75" s="212" t="str">
        <f t="shared" si="9"/>
        <v>-</v>
      </c>
      <c r="R75" s="196">
        <f t="shared" si="33"/>
        <v>0</v>
      </c>
      <c r="S75" s="195">
        <v>651</v>
      </c>
      <c r="T75" s="195">
        <v>1674</v>
      </c>
      <c r="U75" s="195">
        <v>2685</v>
      </c>
      <c r="V75" s="195">
        <v>3745</v>
      </c>
      <c r="W75" s="195">
        <v>2300</v>
      </c>
      <c r="X75" s="196">
        <f t="shared" si="34"/>
        <v>-0.3858477970627503</v>
      </c>
      <c r="Y75" s="212">
        <f t="shared" si="10"/>
        <v>2.5330261136712751</v>
      </c>
      <c r="Z75" s="196">
        <f t="shared" si="29"/>
        <v>7.1090555599830866E-4</v>
      </c>
    </row>
    <row r="76" spans="1:26" x14ac:dyDescent="0.25">
      <c r="A76" s="193" t="s">
        <v>133</v>
      </c>
      <c r="B76" s="194" t="s">
        <v>133</v>
      </c>
      <c r="C76" s="195">
        <v>0</v>
      </c>
      <c r="D76" s="195">
        <v>0</v>
      </c>
      <c r="E76" s="195">
        <v>0</v>
      </c>
      <c r="F76" s="195">
        <v>0</v>
      </c>
      <c r="G76" s="195">
        <v>0</v>
      </c>
      <c r="H76" s="196" t="str">
        <f t="shared" si="30"/>
        <v>-</v>
      </c>
      <c r="I76" s="212" t="str">
        <f t="shared" si="35"/>
        <v>-</v>
      </c>
      <c r="J76" s="196">
        <f t="shared" si="31"/>
        <v>0</v>
      </c>
      <c r="K76" s="195">
        <v>0</v>
      </c>
      <c r="L76" s="195">
        <v>0</v>
      </c>
      <c r="M76" s="195">
        <v>0</v>
      </c>
      <c r="N76" s="195">
        <v>0</v>
      </c>
      <c r="O76" s="195">
        <v>0</v>
      </c>
      <c r="P76" s="196" t="str">
        <f t="shared" si="32"/>
        <v>-</v>
      </c>
      <c r="Q76" s="212" t="str">
        <f t="shared" si="9"/>
        <v>-</v>
      </c>
      <c r="R76" s="196">
        <f t="shared" si="33"/>
        <v>0</v>
      </c>
      <c r="S76" s="195">
        <v>907</v>
      </c>
      <c r="T76" s="195">
        <v>154</v>
      </c>
      <c r="U76" s="195">
        <v>799</v>
      </c>
      <c r="V76" s="195">
        <v>1039</v>
      </c>
      <c r="W76" s="195">
        <v>628</v>
      </c>
      <c r="X76" s="196">
        <f t="shared" si="34"/>
        <v>-0.39557266602502406</v>
      </c>
      <c r="Y76" s="212">
        <f t="shared" si="10"/>
        <v>-0.30760749724366043</v>
      </c>
      <c r="Z76" s="196">
        <f t="shared" si="29"/>
        <v>2.1155066638459911E-4</v>
      </c>
    </row>
    <row r="77" spans="1:26" x14ac:dyDescent="0.25">
      <c r="A77" s="198" t="s">
        <v>147</v>
      </c>
      <c r="B77" s="199" t="s">
        <v>147</v>
      </c>
      <c r="C77" s="200">
        <f>C69-SUM(C70:C76)</f>
        <v>0</v>
      </c>
      <c r="D77" s="200">
        <f>D69-SUM(D70:D76)</f>
        <v>0</v>
      </c>
      <c r="E77" s="200">
        <f>E69-SUM(E70:E76)</f>
        <v>0</v>
      </c>
      <c r="F77" s="200">
        <f>F69-SUM(F70:F76)</f>
        <v>0</v>
      </c>
      <c r="G77" s="200">
        <f>G69-SUM(G70:G76)</f>
        <v>0</v>
      </c>
      <c r="H77" s="201" t="str">
        <f t="shared" si="30"/>
        <v>-</v>
      </c>
      <c r="I77" s="213" t="str">
        <f t="shared" si="35"/>
        <v>-</v>
      </c>
      <c r="J77" s="201">
        <f t="shared" si="31"/>
        <v>0</v>
      </c>
      <c r="K77" s="200">
        <f>K69-SUM(K70:K76)</f>
        <v>0</v>
      </c>
      <c r="L77" s="200">
        <f>L69-SUM(L70:L76)</f>
        <v>0</v>
      </c>
      <c r="M77" s="200">
        <f>M69-SUM(M70:M76)</f>
        <v>0</v>
      </c>
      <c r="N77" s="200">
        <f>N69-SUM(N70:N76)</f>
        <v>0</v>
      </c>
      <c r="O77" s="200">
        <f>O69-SUM(O70:O76)</f>
        <v>0</v>
      </c>
      <c r="P77" s="201" t="str">
        <f t="shared" si="32"/>
        <v>-</v>
      </c>
      <c r="Q77" s="213" t="str">
        <f t="shared" si="9"/>
        <v>-</v>
      </c>
      <c r="R77" s="201">
        <f t="shared" si="33"/>
        <v>0</v>
      </c>
      <c r="S77" s="200">
        <f>S69-SUM(S70:S76)</f>
        <v>6533</v>
      </c>
      <c r="T77" s="200">
        <f>T69-SUM(T70:T76)</f>
        <v>13696</v>
      </c>
      <c r="U77" s="200">
        <f>U69-SUM(U70:U76)</f>
        <v>34305</v>
      </c>
      <c r="V77" s="200">
        <f>V69-SUM(V70:V76)</f>
        <v>41457</v>
      </c>
      <c r="W77" s="200">
        <f>W69-SUM(W70:W76)</f>
        <v>47746</v>
      </c>
      <c r="X77" s="201">
        <f t="shared" si="34"/>
        <v>0.15169935113491095</v>
      </c>
      <c r="Y77" s="213">
        <f t="shared" si="10"/>
        <v>6.3084341037808054</v>
      </c>
      <c r="Z77" s="201">
        <f t="shared" si="29"/>
        <v>9.0829106512186134E-3</v>
      </c>
    </row>
    <row r="78" spans="1:26" x14ac:dyDescent="0.25">
      <c r="A78" s="1"/>
      <c r="B78" s="186" t="s">
        <v>50</v>
      </c>
      <c r="C78" s="184"/>
      <c r="D78" s="184"/>
      <c r="E78" s="184"/>
      <c r="F78" s="184"/>
      <c r="G78" s="184"/>
      <c r="H78" s="184"/>
      <c r="I78" s="184"/>
      <c r="J78" s="184"/>
      <c r="K78" s="184"/>
      <c r="L78" s="184"/>
      <c r="M78" s="184"/>
      <c r="N78" s="184"/>
      <c r="O78" s="184"/>
      <c r="P78" s="184"/>
      <c r="Q78" s="184"/>
      <c r="R78" s="184"/>
      <c r="S78" s="184"/>
      <c r="T78" s="184"/>
      <c r="U78" s="184"/>
      <c r="V78" s="184"/>
      <c r="W78" s="184"/>
      <c r="X78" s="184"/>
      <c r="Y78" s="184"/>
      <c r="Z78" s="184"/>
    </row>
    <row r="79" spans="1:26" x14ac:dyDescent="0.25">
      <c r="A79" s="1" t="s">
        <v>0</v>
      </c>
      <c r="B79" s="187" t="s">
        <v>70</v>
      </c>
      <c r="C79" s="209">
        <f>C80+C83</f>
        <v>34055</v>
      </c>
      <c r="D79" s="209">
        <f>D80+D83</f>
        <v>70827</v>
      </c>
      <c r="E79" s="209">
        <f>E80+E83</f>
        <v>98456</v>
      </c>
      <c r="F79" s="209">
        <f>F80+F83</f>
        <v>103299</v>
      </c>
      <c r="G79" s="209">
        <f>G80+G83</f>
        <v>118688</v>
      </c>
      <c r="H79" s="210">
        <f>IFERROR(G79/F79-1,"-")</f>
        <v>0.14897530469801246</v>
      </c>
      <c r="I79" s="210">
        <f t="shared" si="35"/>
        <v>2.4851857289678461</v>
      </c>
      <c r="J79" s="210">
        <f>G79/G$9</f>
        <v>0.15641333140048233</v>
      </c>
      <c r="K79" s="209">
        <f>K80+K83</f>
        <v>143122</v>
      </c>
      <c r="L79" s="209">
        <f>L80+L83</f>
        <v>214429</v>
      </c>
      <c r="M79" s="209">
        <f>M80+M83</f>
        <v>476344</v>
      </c>
      <c r="N79" s="209">
        <f>N80+N83</f>
        <v>549349</v>
      </c>
      <c r="O79" s="209">
        <f>O80+O83</f>
        <v>622363</v>
      </c>
      <c r="P79" s="210">
        <f>IFERROR(O79/N79-1,"-")</f>
        <v>0.13291004443441246</v>
      </c>
      <c r="Q79" s="210">
        <f t="shared" si="9"/>
        <v>3.3484789200821679</v>
      </c>
      <c r="R79" s="210">
        <f>O79/O$9</f>
        <v>0.17676598983762351</v>
      </c>
      <c r="S79" s="209">
        <f>S80+S83</f>
        <v>177177</v>
      </c>
      <c r="T79" s="209">
        <f>T80+T83</f>
        <v>285256</v>
      </c>
      <c r="U79" s="209">
        <f>U80+U83</f>
        <v>574800</v>
      </c>
      <c r="V79" s="209">
        <f>V80+V83</f>
        <v>652648</v>
      </c>
      <c r="W79" s="209">
        <f>W80+W83</f>
        <v>741051</v>
      </c>
      <c r="X79" s="210">
        <f>IFERROR(W79/V79-1,"-")</f>
        <v>0.13545280151015548</v>
      </c>
      <c r="Y79" s="210">
        <f t="shared" si="10"/>
        <v>3.1825462672920297</v>
      </c>
      <c r="Z79" s="210">
        <f t="shared" ref="Z79:Z91" si="36">U79/U$9</f>
        <v>0.15218939053550384</v>
      </c>
    </row>
    <row r="80" spans="1:26" x14ac:dyDescent="0.25">
      <c r="A80" s="1" t="s">
        <v>98</v>
      </c>
      <c r="B80" s="190" t="s">
        <v>99</v>
      </c>
      <c r="C80" s="191">
        <v>15296</v>
      </c>
      <c r="D80" s="191">
        <v>38077</v>
      </c>
      <c r="E80" s="191">
        <v>48839</v>
      </c>
      <c r="F80" s="191">
        <v>49185</v>
      </c>
      <c r="G80" s="191">
        <v>55960</v>
      </c>
      <c r="H80" s="192">
        <f>IFERROR(G80/F80-1,"-")</f>
        <v>0.13774524753481754</v>
      </c>
      <c r="I80" s="211">
        <f t="shared" si="35"/>
        <v>2.6584728033472804</v>
      </c>
      <c r="J80" s="192">
        <f>G80/G$9</f>
        <v>7.3747051304015501E-2</v>
      </c>
      <c r="K80" s="191">
        <v>67449</v>
      </c>
      <c r="L80" s="191">
        <v>109519</v>
      </c>
      <c r="M80" s="191">
        <v>230615</v>
      </c>
      <c r="N80" s="191">
        <v>229974</v>
      </c>
      <c r="O80" s="191">
        <v>243808</v>
      </c>
      <c r="P80" s="192">
        <f>IFERROR(O80/N80-1,"-")</f>
        <v>6.0154626175132897E-2</v>
      </c>
      <c r="Q80" s="211">
        <f t="shared" si="9"/>
        <v>2.6147014781538642</v>
      </c>
      <c r="R80" s="192">
        <f>O80/O$9</f>
        <v>6.9247308163131988E-2</v>
      </c>
      <c r="S80" s="191">
        <v>82745</v>
      </c>
      <c r="T80" s="191">
        <v>147596</v>
      </c>
      <c r="U80" s="191">
        <v>279454</v>
      </c>
      <c r="V80" s="191">
        <v>279159</v>
      </c>
      <c r="W80" s="191">
        <v>299768</v>
      </c>
      <c r="X80" s="192">
        <f>IFERROR(W80/V80-1,"-")</f>
        <v>7.3825311023467011E-2</v>
      </c>
      <c r="Y80" s="211">
        <f t="shared" si="10"/>
        <v>2.6227929180010876</v>
      </c>
      <c r="Z80" s="192">
        <f t="shared" si="36"/>
        <v>7.3990838452868288E-2</v>
      </c>
    </row>
    <row r="81" spans="1:26" x14ac:dyDescent="0.25">
      <c r="A81" s="193" t="s">
        <v>105</v>
      </c>
      <c r="B81" s="194" t="s">
        <v>105</v>
      </c>
      <c r="C81" s="195">
        <v>7696</v>
      </c>
      <c r="D81" s="195">
        <v>24218</v>
      </c>
      <c r="E81" s="195">
        <v>29828</v>
      </c>
      <c r="F81" s="195">
        <v>29979</v>
      </c>
      <c r="G81" s="195">
        <v>30308</v>
      </c>
      <c r="H81" s="196">
        <f>IFERROR(G81/F81-1,"-")</f>
        <v>1.0974348710764303E-2</v>
      </c>
      <c r="I81" s="212">
        <f t="shared" si="35"/>
        <v>2.938149688149688</v>
      </c>
      <c r="J81" s="196">
        <f>G81/G$9</f>
        <v>3.9941487328843846E-2</v>
      </c>
      <c r="K81" s="195">
        <v>11781</v>
      </c>
      <c r="L81" s="195">
        <v>24585</v>
      </c>
      <c r="M81" s="195">
        <v>36378</v>
      </c>
      <c r="N81" s="195">
        <v>30210</v>
      </c>
      <c r="O81" s="195">
        <v>42021</v>
      </c>
      <c r="P81" s="196">
        <f>IFERROR(O81/N81-1,"-")</f>
        <v>0.39096325719960268</v>
      </c>
      <c r="Q81" s="212">
        <f t="shared" si="9"/>
        <v>2.5668449197860963</v>
      </c>
      <c r="R81" s="196">
        <f>O81/O$9</f>
        <v>1.1934969879261424E-2</v>
      </c>
      <c r="S81" s="195">
        <v>19477</v>
      </c>
      <c r="T81" s="195">
        <v>48803</v>
      </c>
      <c r="U81" s="195">
        <v>66206</v>
      </c>
      <c r="V81" s="195">
        <v>60189</v>
      </c>
      <c r="W81" s="195">
        <v>72329</v>
      </c>
      <c r="X81" s="196">
        <f>IFERROR(W81/V81-1,"-")</f>
        <v>0.20169798468158628</v>
      </c>
      <c r="Y81" s="212">
        <f t="shared" si="10"/>
        <v>2.713559583098013</v>
      </c>
      <c r="Z81" s="196">
        <f t="shared" si="36"/>
        <v>1.7529315918221239E-2</v>
      </c>
    </row>
    <row r="82" spans="1:26" x14ac:dyDescent="0.25">
      <c r="A82" s="193" t="s">
        <v>102</v>
      </c>
      <c r="B82" s="194" t="s">
        <v>102</v>
      </c>
      <c r="C82" s="195">
        <v>7600</v>
      </c>
      <c r="D82" s="195">
        <v>13859</v>
      </c>
      <c r="E82" s="195">
        <v>19011</v>
      </c>
      <c r="F82" s="195">
        <v>19206</v>
      </c>
      <c r="G82" s="195">
        <v>25652</v>
      </c>
      <c r="H82" s="196">
        <f>IFERROR(G82/F82-1,"-")</f>
        <v>0.33562428407789224</v>
      </c>
      <c r="I82" s="212">
        <f t="shared" si="35"/>
        <v>2.3752631578947367</v>
      </c>
      <c r="J82" s="196">
        <f>G82/G$9</f>
        <v>3.3805563975171649E-2</v>
      </c>
      <c r="K82" s="195">
        <v>55668</v>
      </c>
      <c r="L82" s="195">
        <v>84934</v>
      </c>
      <c r="M82" s="195">
        <v>194237</v>
      </c>
      <c r="N82" s="195">
        <v>199764</v>
      </c>
      <c r="O82" s="195">
        <v>201787</v>
      </c>
      <c r="P82" s="196">
        <f>IFERROR(O82/N82-1,"-")</f>
        <v>1.0126949800765006E-2</v>
      </c>
      <c r="Q82" s="212">
        <f t="shared" si="9"/>
        <v>2.6248293454049003</v>
      </c>
      <c r="R82" s="196">
        <f>O82/O$9</f>
        <v>5.7312338283870563E-2</v>
      </c>
      <c r="S82" s="195">
        <v>63268</v>
      </c>
      <c r="T82" s="195">
        <v>98793</v>
      </c>
      <c r="U82" s="195">
        <v>213248</v>
      </c>
      <c r="V82" s="195">
        <v>218970</v>
      </c>
      <c r="W82" s="195">
        <v>227439</v>
      </c>
      <c r="X82" s="196">
        <f>IFERROR(W82/V82-1,"-")</f>
        <v>3.8676531031648143E-2</v>
      </c>
      <c r="Y82" s="212">
        <f t="shared" si="10"/>
        <v>2.5948504773345134</v>
      </c>
      <c r="Z82" s="196">
        <f t="shared" si="36"/>
        <v>5.6461522534647049E-2</v>
      </c>
    </row>
    <row r="83" spans="1:26" x14ac:dyDescent="0.25">
      <c r="A83" s="1" t="s">
        <v>148</v>
      </c>
      <c r="B83" s="190" t="s">
        <v>109</v>
      </c>
      <c r="C83" s="191">
        <v>18759</v>
      </c>
      <c r="D83" s="191">
        <v>32750</v>
      </c>
      <c r="E83" s="191">
        <v>49617</v>
      </c>
      <c r="F83" s="191">
        <v>54114</v>
      </c>
      <c r="G83" s="191">
        <v>62728</v>
      </c>
      <c r="H83" s="192">
        <f>IFERROR(G83/F83-1,"-")</f>
        <v>0.15918246664449121</v>
      </c>
      <c r="I83" s="211">
        <f t="shared" si="35"/>
        <v>2.3438882669651901</v>
      </c>
      <c r="J83" s="192">
        <f>G83/G$9</f>
        <v>8.2666280096466843E-2</v>
      </c>
      <c r="K83" s="191">
        <v>75673</v>
      </c>
      <c r="L83" s="191">
        <v>104910</v>
      </c>
      <c r="M83" s="191">
        <v>245729</v>
      </c>
      <c r="N83" s="191">
        <v>319375</v>
      </c>
      <c r="O83" s="191">
        <v>378555</v>
      </c>
      <c r="P83" s="192">
        <f>IFERROR(O83/N83-1,"-")</f>
        <v>0.18529941291585117</v>
      </c>
      <c r="Q83" s="211">
        <f t="shared" si="9"/>
        <v>4.0025108030605372</v>
      </c>
      <c r="R83" s="192">
        <f>O83/O$9</f>
        <v>0.10751868167449152</v>
      </c>
      <c r="S83" s="191">
        <v>94432</v>
      </c>
      <c r="T83" s="191">
        <v>137660</v>
      </c>
      <c r="U83" s="191">
        <v>295346</v>
      </c>
      <c r="V83" s="191">
        <v>373489</v>
      </c>
      <c r="W83" s="191">
        <v>441283</v>
      </c>
      <c r="X83" s="192">
        <f>IFERROR(W83/V83-1,"-")</f>
        <v>0.18151538599530381</v>
      </c>
      <c r="Y83" s="211">
        <f t="shared" si="10"/>
        <v>3.6730239749237548</v>
      </c>
      <c r="Z83" s="192">
        <f t="shared" si="36"/>
        <v>7.8198552082635556E-2</v>
      </c>
    </row>
    <row r="84" spans="1:26" x14ac:dyDescent="0.25">
      <c r="A84" s="193" t="s">
        <v>112</v>
      </c>
      <c r="B84" s="194" t="s">
        <v>112</v>
      </c>
      <c r="C84" s="195">
        <v>2578</v>
      </c>
      <c r="D84" s="195">
        <v>3228</v>
      </c>
      <c r="E84" s="195">
        <v>5828</v>
      </c>
      <c r="F84" s="195">
        <v>7060</v>
      </c>
      <c r="G84" s="195">
        <v>9146</v>
      </c>
      <c r="H84" s="196">
        <f t="shared" ref="H84:H91" si="37">IFERROR(G84/F84-1,"-")</f>
        <v>0.29546742209631738</v>
      </c>
      <c r="I84" s="212">
        <f t="shared" si="35"/>
        <v>2.5477114041892941</v>
      </c>
      <c r="J84" s="196">
        <f t="shared" ref="J84:J91" si="38">G84/G$9</f>
        <v>1.2053083116985807E-2</v>
      </c>
      <c r="K84" s="195">
        <v>15879</v>
      </c>
      <c r="L84" s="195">
        <v>11210</v>
      </c>
      <c r="M84" s="195">
        <v>56300</v>
      </c>
      <c r="N84" s="195">
        <v>75139</v>
      </c>
      <c r="O84" s="195">
        <v>87125</v>
      </c>
      <c r="P84" s="196">
        <f t="shared" ref="P84:P91" si="39">IFERROR(O84/N84-1,"-")</f>
        <v>0.15951769387402015</v>
      </c>
      <c r="Q84" s="212">
        <f t="shared" si="9"/>
        <v>4.4868064739593176</v>
      </c>
      <c r="R84" s="196">
        <f t="shared" ref="R84:R91" si="40">O84/O$9</f>
        <v>2.4745585557950825E-2</v>
      </c>
      <c r="S84" s="195">
        <v>18457</v>
      </c>
      <c r="T84" s="195">
        <v>14438</v>
      </c>
      <c r="U84" s="195">
        <v>62128</v>
      </c>
      <c r="V84" s="195">
        <v>82199</v>
      </c>
      <c r="W84" s="195">
        <v>96271</v>
      </c>
      <c r="X84" s="196">
        <f t="shared" ref="X84:X91" si="41">IFERROR(W84/V84-1,"-")</f>
        <v>0.17119429676760056</v>
      </c>
      <c r="Y84" s="212">
        <f t="shared" si="10"/>
        <v>4.2159614238500298</v>
      </c>
      <c r="Z84" s="196">
        <f t="shared" si="36"/>
        <v>1.6449586734846526E-2</v>
      </c>
    </row>
    <row r="85" spans="1:26" x14ac:dyDescent="0.25">
      <c r="A85" s="193" t="s">
        <v>115</v>
      </c>
      <c r="B85" s="194" t="s">
        <v>115</v>
      </c>
      <c r="C85" s="195">
        <v>5409</v>
      </c>
      <c r="D85" s="195">
        <v>8563</v>
      </c>
      <c r="E85" s="195">
        <v>13220</v>
      </c>
      <c r="F85" s="195">
        <v>14980</v>
      </c>
      <c r="G85" s="195">
        <v>15604</v>
      </c>
      <c r="H85" s="196">
        <f t="shared" si="37"/>
        <v>4.1655540720961337E-2</v>
      </c>
      <c r="I85" s="212">
        <f t="shared" si="35"/>
        <v>1.8848215936402291</v>
      </c>
      <c r="J85" s="196">
        <f t="shared" si="38"/>
        <v>2.0563777493707251E-2</v>
      </c>
      <c r="K85" s="195">
        <v>27251</v>
      </c>
      <c r="L85" s="195">
        <v>36097</v>
      </c>
      <c r="M85" s="195">
        <v>84214</v>
      </c>
      <c r="N85" s="195">
        <v>96686</v>
      </c>
      <c r="O85" s="195">
        <v>107377</v>
      </c>
      <c r="P85" s="196">
        <f t="shared" si="39"/>
        <v>0.11057443683677048</v>
      </c>
      <c r="Q85" s="212">
        <f t="shared" si="9"/>
        <v>2.9402957689626068</v>
      </c>
      <c r="R85" s="196">
        <f t="shared" si="40"/>
        <v>3.0497638340959376E-2</v>
      </c>
      <c r="S85" s="195">
        <v>32660</v>
      </c>
      <c r="T85" s="195">
        <v>44660</v>
      </c>
      <c r="U85" s="195">
        <v>97434</v>
      </c>
      <c r="V85" s="195">
        <v>111666</v>
      </c>
      <c r="W85" s="195">
        <v>122981</v>
      </c>
      <c r="X85" s="196">
        <f t="shared" si="41"/>
        <v>0.101328963157989</v>
      </c>
      <c r="Y85" s="212">
        <f t="shared" si="10"/>
        <v>2.7654929577464791</v>
      </c>
      <c r="Z85" s="196">
        <f t="shared" si="36"/>
        <v>2.5797531449958735E-2</v>
      </c>
    </row>
    <row r="86" spans="1:26" x14ac:dyDescent="0.25">
      <c r="A86" s="193" t="s">
        <v>118</v>
      </c>
      <c r="B86" s="194" t="s">
        <v>118</v>
      </c>
      <c r="C86" s="195">
        <v>1714</v>
      </c>
      <c r="D86" s="195">
        <v>5280</v>
      </c>
      <c r="E86" s="195">
        <v>5870</v>
      </c>
      <c r="F86" s="195">
        <v>5315</v>
      </c>
      <c r="G86" s="195">
        <v>6020</v>
      </c>
      <c r="H86" s="196">
        <f t="shared" si="37"/>
        <v>0.13264346190028231</v>
      </c>
      <c r="I86" s="212">
        <f t="shared" si="35"/>
        <v>2.5122520420070011</v>
      </c>
      <c r="J86" s="196">
        <f t="shared" si="38"/>
        <v>7.933474782883726E-3</v>
      </c>
      <c r="K86" s="195">
        <v>5151</v>
      </c>
      <c r="L86" s="195">
        <v>11108</v>
      </c>
      <c r="M86" s="195">
        <v>20133</v>
      </c>
      <c r="N86" s="195">
        <v>32539</v>
      </c>
      <c r="O86" s="195">
        <v>46070</v>
      </c>
      <c r="P86" s="196">
        <f t="shared" si="39"/>
        <v>0.41583945419342938</v>
      </c>
      <c r="Q86" s="212">
        <f t="shared" si="9"/>
        <v>7.9438943894389435</v>
      </c>
      <c r="R86" s="196">
        <f t="shared" si="40"/>
        <v>1.3084982802350582E-2</v>
      </c>
      <c r="S86" s="195">
        <v>6865</v>
      </c>
      <c r="T86" s="195">
        <v>16388</v>
      </c>
      <c r="U86" s="195">
        <v>26003</v>
      </c>
      <c r="V86" s="195">
        <v>37854</v>
      </c>
      <c r="W86" s="195">
        <v>52090</v>
      </c>
      <c r="X86" s="196">
        <f t="shared" si="41"/>
        <v>0.37607650446452157</v>
      </c>
      <c r="Y86" s="212">
        <f t="shared" si="10"/>
        <v>6.5877640203932994</v>
      </c>
      <c r="Z86" s="196">
        <f t="shared" si="36"/>
        <v>6.8847959674577354E-3</v>
      </c>
    </row>
    <row r="87" spans="1:26" x14ac:dyDescent="0.25">
      <c r="A87" s="193" t="s">
        <v>125</v>
      </c>
      <c r="B87" s="194" t="s">
        <v>125</v>
      </c>
      <c r="C87" s="195">
        <v>286</v>
      </c>
      <c r="D87" s="195">
        <v>921</v>
      </c>
      <c r="E87" s="195">
        <v>1133</v>
      </c>
      <c r="F87" s="195">
        <v>1153</v>
      </c>
      <c r="G87" s="195">
        <v>1481</v>
      </c>
      <c r="H87" s="196">
        <f t="shared" si="37"/>
        <v>0.28447528187337379</v>
      </c>
      <c r="I87" s="212">
        <f t="shared" si="35"/>
        <v>4.1783216783216783</v>
      </c>
      <c r="J87" s="196">
        <f t="shared" si="38"/>
        <v>1.951740224825714E-3</v>
      </c>
      <c r="K87" s="195">
        <v>1248</v>
      </c>
      <c r="L87" s="195">
        <v>2935</v>
      </c>
      <c r="M87" s="195">
        <v>4473</v>
      </c>
      <c r="N87" s="195">
        <v>6684</v>
      </c>
      <c r="O87" s="195">
        <v>11325</v>
      </c>
      <c r="P87" s="196">
        <f t="shared" si="39"/>
        <v>0.69434470377019752</v>
      </c>
      <c r="Q87" s="212">
        <f t="shared" ref="Q87:Q150" si="42">IFERROR(O87/K87-1,"-")</f>
        <v>8.0745192307692299</v>
      </c>
      <c r="R87" s="196">
        <f t="shared" si="40"/>
        <v>3.2165710926116853E-3</v>
      </c>
      <c r="S87" s="195">
        <v>1534</v>
      </c>
      <c r="T87" s="195">
        <v>3856</v>
      </c>
      <c r="U87" s="195">
        <v>5606</v>
      </c>
      <c r="V87" s="195">
        <v>7837</v>
      </c>
      <c r="W87" s="195">
        <v>12806</v>
      </c>
      <c r="X87" s="196">
        <f t="shared" si="41"/>
        <v>0.63404363914763295</v>
      </c>
      <c r="Y87" s="212">
        <f t="shared" ref="Y87:Y150" si="43">IFERROR(W87/S87-1,"-")</f>
        <v>7.3481095176010438</v>
      </c>
      <c r="Z87" s="196">
        <f t="shared" si="36"/>
        <v>1.4842966655219808E-3</v>
      </c>
    </row>
    <row r="88" spans="1:26" x14ac:dyDescent="0.25">
      <c r="A88" s="193" t="s">
        <v>121</v>
      </c>
      <c r="B88" s="194" t="s">
        <v>121</v>
      </c>
      <c r="C88" s="195">
        <v>240</v>
      </c>
      <c r="D88" s="195">
        <v>804</v>
      </c>
      <c r="E88" s="195">
        <v>921</v>
      </c>
      <c r="F88" s="195">
        <v>774</v>
      </c>
      <c r="G88" s="195">
        <v>909</v>
      </c>
      <c r="H88" s="196">
        <f t="shared" si="37"/>
        <v>0.17441860465116288</v>
      </c>
      <c r="I88" s="212">
        <f t="shared" si="35"/>
        <v>2.7875000000000001</v>
      </c>
      <c r="J88" s="196">
        <f t="shared" si="38"/>
        <v>1.1979283351563632E-3</v>
      </c>
      <c r="K88" s="195">
        <v>1576</v>
      </c>
      <c r="L88" s="195">
        <v>3904</v>
      </c>
      <c r="M88" s="195">
        <v>4162</v>
      </c>
      <c r="N88" s="195">
        <v>5494</v>
      </c>
      <c r="O88" s="195">
        <v>7100</v>
      </c>
      <c r="P88" s="196">
        <f t="shared" si="39"/>
        <v>0.29231889333818706</v>
      </c>
      <c r="Q88" s="212">
        <f t="shared" si="42"/>
        <v>3.5050761421319798</v>
      </c>
      <c r="R88" s="196">
        <f t="shared" si="40"/>
        <v>2.0165699565159352E-3</v>
      </c>
      <c r="S88" s="195">
        <v>1816</v>
      </c>
      <c r="T88" s="195">
        <v>4708</v>
      </c>
      <c r="U88" s="195">
        <v>5083</v>
      </c>
      <c r="V88" s="195">
        <v>6268</v>
      </c>
      <c r="W88" s="195">
        <v>8009</v>
      </c>
      <c r="X88" s="196">
        <f t="shared" si="41"/>
        <v>0.27776005105296742</v>
      </c>
      <c r="Y88" s="212">
        <f t="shared" si="43"/>
        <v>3.410242290748899</v>
      </c>
      <c r="Z88" s="196">
        <f t="shared" si="36"/>
        <v>1.345822324446705E-3</v>
      </c>
    </row>
    <row r="89" spans="1:26" x14ac:dyDescent="0.25">
      <c r="A89" s="193" t="s">
        <v>130</v>
      </c>
      <c r="B89" s="194" t="s">
        <v>130</v>
      </c>
      <c r="C89" s="195">
        <v>286</v>
      </c>
      <c r="D89" s="195">
        <v>296</v>
      </c>
      <c r="E89" s="195">
        <v>433</v>
      </c>
      <c r="F89" s="195">
        <v>454</v>
      </c>
      <c r="G89" s="195">
        <v>500</v>
      </c>
      <c r="H89" s="196">
        <f t="shared" si="37"/>
        <v>0.1013215859030836</v>
      </c>
      <c r="I89" s="212">
        <f t="shared" si="35"/>
        <v>0.74825174825174834</v>
      </c>
      <c r="J89" s="196">
        <f t="shared" si="38"/>
        <v>6.589264769836982E-4</v>
      </c>
      <c r="K89" s="195">
        <v>1422</v>
      </c>
      <c r="L89" s="195">
        <v>781</v>
      </c>
      <c r="M89" s="195">
        <v>2952</v>
      </c>
      <c r="N89" s="195">
        <v>3351</v>
      </c>
      <c r="O89" s="195">
        <v>3056</v>
      </c>
      <c r="P89" s="196">
        <f t="shared" si="39"/>
        <v>-8.8033422858848076E-2</v>
      </c>
      <c r="Q89" s="212">
        <f t="shared" si="42"/>
        <v>1.1490857946554147</v>
      </c>
      <c r="R89" s="196">
        <f t="shared" si="40"/>
        <v>8.6797715311446449E-4</v>
      </c>
      <c r="S89" s="195">
        <v>1708</v>
      </c>
      <c r="T89" s="195">
        <v>1077</v>
      </c>
      <c r="U89" s="195">
        <v>3385</v>
      </c>
      <c r="V89" s="195">
        <v>3805</v>
      </c>
      <c r="W89" s="195">
        <v>3556</v>
      </c>
      <c r="X89" s="196">
        <f t="shared" si="41"/>
        <v>-6.5440210249671504E-2</v>
      </c>
      <c r="Y89" s="212">
        <f t="shared" si="43"/>
        <v>1.081967213114754</v>
      </c>
      <c r="Z89" s="196">
        <f t="shared" si="36"/>
        <v>8.9624406221760697E-4</v>
      </c>
    </row>
    <row r="90" spans="1:26" x14ac:dyDescent="0.25">
      <c r="A90" s="193" t="s">
        <v>133</v>
      </c>
      <c r="B90" s="194" t="s">
        <v>133</v>
      </c>
      <c r="C90" s="195">
        <v>408</v>
      </c>
      <c r="D90" s="195">
        <v>385</v>
      </c>
      <c r="E90" s="195">
        <v>658</v>
      </c>
      <c r="F90" s="195">
        <v>679</v>
      </c>
      <c r="G90" s="195">
        <v>636</v>
      </c>
      <c r="H90" s="196">
        <f t="shared" si="37"/>
        <v>-6.3328424153166418E-2</v>
      </c>
      <c r="I90" s="212">
        <f t="shared" si="35"/>
        <v>0.55882352941176472</v>
      </c>
      <c r="J90" s="196">
        <f t="shared" si="38"/>
        <v>8.3815447872326407E-4</v>
      </c>
      <c r="K90" s="195">
        <v>1922</v>
      </c>
      <c r="L90" s="195">
        <v>947</v>
      </c>
      <c r="M90" s="195">
        <v>3040</v>
      </c>
      <c r="N90" s="195">
        <v>3728</v>
      </c>
      <c r="O90" s="195">
        <v>4053</v>
      </c>
      <c r="P90" s="196">
        <f t="shared" si="39"/>
        <v>8.7178111587982832E-2</v>
      </c>
      <c r="Q90" s="212">
        <f t="shared" si="42"/>
        <v>1.1087408949011448</v>
      </c>
      <c r="R90" s="196">
        <f t="shared" si="40"/>
        <v>1.1511490188393077E-3</v>
      </c>
      <c r="S90" s="195">
        <v>2330</v>
      </c>
      <c r="T90" s="195">
        <v>1332</v>
      </c>
      <c r="U90" s="195">
        <v>3698</v>
      </c>
      <c r="V90" s="195">
        <v>4407</v>
      </c>
      <c r="W90" s="195">
        <v>4689</v>
      </c>
      <c r="X90" s="196">
        <f t="shared" si="41"/>
        <v>6.3989108236895742E-2</v>
      </c>
      <c r="Y90" s="212">
        <f t="shared" si="43"/>
        <v>1.0124463519313305</v>
      </c>
      <c r="Z90" s="196">
        <f t="shared" si="36"/>
        <v>9.7911685142709325E-4</v>
      </c>
    </row>
    <row r="91" spans="1:26" x14ac:dyDescent="0.25">
      <c r="A91" s="198" t="s">
        <v>147</v>
      </c>
      <c r="B91" s="199" t="s">
        <v>147</v>
      </c>
      <c r="C91" s="200">
        <f>C83-SUM(C84:C90)</f>
        <v>7838</v>
      </c>
      <c r="D91" s="200">
        <f>D83-SUM(D84:D90)</f>
        <v>13273</v>
      </c>
      <c r="E91" s="200">
        <f>E83-SUM(E84:E90)</f>
        <v>21554</v>
      </c>
      <c r="F91" s="200">
        <f>F83-SUM(F84:F90)</f>
        <v>23699</v>
      </c>
      <c r="G91" s="200">
        <f>G83-SUM(G84:G90)</f>
        <v>28432</v>
      </c>
      <c r="H91" s="201">
        <f t="shared" si="37"/>
        <v>0.19971306806194344</v>
      </c>
      <c r="I91" s="213">
        <f t="shared" si="35"/>
        <v>2.6274559836693032</v>
      </c>
      <c r="J91" s="201">
        <f t="shared" si="38"/>
        <v>3.7469195187201015E-2</v>
      </c>
      <c r="K91" s="200">
        <f>K83-SUM(K84:K90)</f>
        <v>21224</v>
      </c>
      <c r="L91" s="200">
        <f>L83-SUM(L84:L90)</f>
        <v>37928</v>
      </c>
      <c r="M91" s="200">
        <f>M83-SUM(M84:M90)</f>
        <v>70455</v>
      </c>
      <c r="N91" s="200">
        <f>N83-SUM(N84:N90)</f>
        <v>95754</v>
      </c>
      <c r="O91" s="200">
        <f>O83-SUM(O84:O90)</f>
        <v>112449</v>
      </c>
      <c r="P91" s="201">
        <f t="shared" si="39"/>
        <v>0.17435302963844856</v>
      </c>
      <c r="Q91" s="213">
        <f t="shared" si="42"/>
        <v>4.2982001507727103</v>
      </c>
      <c r="R91" s="201">
        <f t="shared" si="40"/>
        <v>3.1938207752149353E-2</v>
      </c>
      <c r="S91" s="200">
        <f>S83-SUM(S84:S90)</f>
        <v>29062</v>
      </c>
      <c r="T91" s="200">
        <f>T83-SUM(T84:T90)</f>
        <v>51201</v>
      </c>
      <c r="U91" s="200">
        <f>U83-SUM(U84:U90)</f>
        <v>92009</v>
      </c>
      <c r="V91" s="200">
        <f>V83-SUM(V84:V90)</f>
        <v>119453</v>
      </c>
      <c r="W91" s="200">
        <f>W83-SUM(W84:W90)</f>
        <v>140881</v>
      </c>
      <c r="X91" s="201">
        <f t="shared" si="41"/>
        <v>0.17938436037604744</v>
      </c>
      <c r="Y91" s="213">
        <f t="shared" si="43"/>
        <v>3.8476016791686742</v>
      </c>
      <c r="Z91" s="201">
        <f t="shared" si="36"/>
        <v>2.4361158026759172E-2</v>
      </c>
    </row>
    <row r="92" spans="1:26" x14ac:dyDescent="0.25">
      <c r="A92" s="1"/>
      <c r="B92" s="186" t="s">
        <v>51</v>
      </c>
      <c r="C92" s="184"/>
      <c r="D92" s="184"/>
      <c r="E92" s="184"/>
      <c r="F92" s="184"/>
      <c r="G92" s="184"/>
      <c r="H92" s="184"/>
      <c r="I92" s="184"/>
      <c r="J92" s="184"/>
      <c r="K92" s="184"/>
      <c r="L92" s="184"/>
      <c r="M92" s="184"/>
      <c r="N92" s="184"/>
      <c r="O92" s="184"/>
      <c r="P92" s="184"/>
      <c r="Q92" s="184"/>
      <c r="R92" s="184"/>
      <c r="S92" s="184"/>
      <c r="T92" s="184"/>
      <c r="U92" s="184"/>
      <c r="V92" s="184"/>
      <c r="W92" s="184"/>
      <c r="X92" s="184"/>
      <c r="Y92" s="184"/>
      <c r="Z92" s="184"/>
    </row>
    <row r="93" spans="1:26" x14ac:dyDescent="0.25">
      <c r="A93" s="1" t="s">
        <v>0</v>
      </c>
      <c r="B93" s="187" t="s">
        <v>70</v>
      </c>
      <c r="C93" s="209">
        <f>C94+C97</f>
        <v>0</v>
      </c>
      <c r="D93" s="209">
        <f>D94+D97</f>
        <v>0</v>
      </c>
      <c r="E93" s="209">
        <f>E94+E97</f>
        <v>5131</v>
      </c>
      <c r="F93" s="209">
        <f>F94+F97</f>
        <v>7607</v>
      </c>
      <c r="G93" s="209">
        <f>G94+G97</f>
        <v>7923</v>
      </c>
      <c r="H93" s="210">
        <f>IFERROR(G93/F93-1,"-")</f>
        <v>4.1540686210069566E-2</v>
      </c>
      <c r="I93" s="210" t="str">
        <f t="shared" si="35"/>
        <v>-</v>
      </c>
      <c r="J93" s="210">
        <f>G93/G$9</f>
        <v>1.0441348954283681E-2</v>
      </c>
      <c r="K93" s="209">
        <f>K94+K97</f>
        <v>0</v>
      </c>
      <c r="L93" s="209">
        <f>L94+L97</f>
        <v>0</v>
      </c>
      <c r="M93" s="209">
        <f>M94+M97</f>
        <v>46354</v>
      </c>
      <c r="N93" s="209">
        <f>N94+N97</f>
        <v>50550</v>
      </c>
      <c r="O93" s="209">
        <f>O94+O97</f>
        <v>49465</v>
      </c>
      <c r="P93" s="210">
        <f>IFERROR(O93/N93-1,"-")</f>
        <v>-2.1463897131552945E-2</v>
      </c>
      <c r="Q93" s="210" t="str">
        <f t="shared" si="42"/>
        <v>-</v>
      </c>
      <c r="R93" s="210">
        <f>O93/O$9</f>
        <v>1.4049244070290245E-2</v>
      </c>
      <c r="S93" s="209">
        <f>S94+S97</f>
        <v>24221</v>
      </c>
      <c r="T93" s="209">
        <f>T94+T97</f>
        <v>33444</v>
      </c>
      <c r="U93" s="209">
        <f>U94+U97</f>
        <v>51485</v>
      </c>
      <c r="V93" s="209">
        <f>V94+V97</f>
        <v>58157</v>
      </c>
      <c r="W93" s="209">
        <f>W94+W97</f>
        <v>57388</v>
      </c>
      <c r="X93" s="210">
        <f>IFERROR(W93/V93-1,"-")</f>
        <v>-1.3222827862510056E-2</v>
      </c>
      <c r="Y93" s="210">
        <f t="shared" si="43"/>
        <v>1.3693489121010693</v>
      </c>
      <c r="Z93" s="210">
        <f t="shared" ref="Z93:Z105" si="44">U93/U$9</f>
        <v>1.3631647132429394E-2</v>
      </c>
    </row>
    <row r="94" spans="1:26" x14ac:dyDescent="0.25">
      <c r="A94" s="1" t="s">
        <v>98</v>
      </c>
      <c r="B94" s="190" t="s">
        <v>99</v>
      </c>
      <c r="C94" s="191">
        <v>0</v>
      </c>
      <c r="D94" s="191">
        <v>0</v>
      </c>
      <c r="E94" s="191">
        <v>3937</v>
      </c>
      <c r="F94" s="191">
        <v>5346</v>
      </c>
      <c r="G94" s="191">
        <v>5742</v>
      </c>
      <c r="H94" s="192">
        <f>IFERROR(G94/F94-1,"-")</f>
        <v>7.4074074074074181E-2</v>
      </c>
      <c r="I94" s="211" t="str">
        <f t="shared" si="35"/>
        <v>-</v>
      </c>
      <c r="J94" s="192">
        <f>G94/G$9</f>
        <v>7.5671116616807896E-3</v>
      </c>
      <c r="K94" s="191">
        <v>0</v>
      </c>
      <c r="L94" s="191">
        <v>0</v>
      </c>
      <c r="M94" s="191">
        <v>29872</v>
      </c>
      <c r="N94" s="191">
        <v>32376</v>
      </c>
      <c r="O94" s="191">
        <v>30079</v>
      </c>
      <c r="P94" s="192">
        <f>IFERROR(O94/N94-1,"-")</f>
        <v>-7.0947615517667373E-2</v>
      </c>
      <c r="Q94" s="211" t="str">
        <f t="shared" si="42"/>
        <v>-</v>
      </c>
      <c r="R94" s="192">
        <f>O94/O$9</f>
        <v>8.5431560171891283E-3</v>
      </c>
      <c r="S94" s="191">
        <v>16023</v>
      </c>
      <c r="T94" s="191">
        <v>21732</v>
      </c>
      <c r="U94" s="191">
        <v>33809</v>
      </c>
      <c r="V94" s="191">
        <v>37722</v>
      </c>
      <c r="W94" s="191">
        <v>35821</v>
      </c>
      <c r="X94" s="192">
        <f>IFERROR(W94/V94-1,"-")</f>
        <v>-5.0394994963151474E-2</v>
      </c>
      <c r="Y94" s="211">
        <f t="shared" si="43"/>
        <v>1.2355988266866378</v>
      </c>
      <c r="Z94" s="192">
        <f t="shared" si="44"/>
        <v>8.9515850810975104E-3</v>
      </c>
    </row>
    <row r="95" spans="1:26" x14ac:dyDescent="0.25">
      <c r="A95" s="193" t="s">
        <v>105</v>
      </c>
      <c r="B95" s="194" t="s">
        <v>105</v>
      </c>
      <c r="C95" s="195">
        <v>0</v>
      </c>
      <c r="D95" s="195">
        <v>0</v>
      </c>
      <c r="E95" s="195">
        <v>2928</v>
      </c>
      <c r="F95" s="195">
        <v>3814</v>
      </c>
      <c r="G95" s="195">
        <v>4202</v>
      </c>
      <c r="H95" s="196">
        <f>IFERROR(G95/F95-1,"-")</f>
        <v>0.10173046670162567</v>
      </c>
      <c r="I95" s="212" t="str">
        <f t="shared" si="35"/>
        <v>-</v>
      </c>
      <c r="J95" s="196">
        <f>G95/G$9</f>
        <v>5.5376181125709996E-3</v>
      </c>
      <c r="K95" s="195">
        <v>0</v>
      </c>
      <c r="L95" s="195">
        <v>0</v>
      </c>
      <c r="M95" s="195">
        <v>13361</v>
      </c>
      <c r="N95" s="195">
        <v>8210</v>
      </c>
      <c r="O95" s="195">
        <v>7675</v>
      </c>
      <c r="P95" s="196">
        <f>IFERROR(O95/N95-1,"-")</f>
        <v>-6.5164433617539541E-2</v>
      </c>
      <c r="Q95" s="212" t="str">
        <f t="shared" si="42"/>
        <v>-</v>
      </c>
      <c r="R95" s="196">
        <f>O95/O$9</f>
        <v>2.1798837205999721E-3</v>
      </c>
      <c r="S95" s="195">
        <v>8684</v>
      </c>
      <c r="T95" s="195">
        <v>11001</v>
      </c>
      <c r="U95" s="195">
        <v>16289</v>
      </c>
      <c r="V95" s="195">
        <v>12024</v>
      </c>
      <c r="W95" s="195">
        <v>11877</v>
      </c>
      <c r="X95" s="196">
        <f>IFERROR(W95/V95-1,"-")</f>
        <v>-1.2225548902195627E-2</v>
      </c>
      <c r="Y95" s="212">
        <f t="shared" si="43"/>
        <v>0.36768770152003682</v>
      </c>
      <c r="Z95" s="196">
        <f t="shared" si="44"/>
        <v>4.3128270397230729E-3</v>
      </c>
    </row>
    <row r="96" spans="1:26" x14ac:dyDescent="0.25">
      <c r="A96" s="193" t="s">
        <v>102</v>
      </c>
      <c r="B96" s="194" t="s">
        <v>102</v>
      </c>
      <c r="C96" s="195">
        <v>0</v>
      </c>
      <c r="D96" s="195">
        <v>0</v>
      </c>
      <c r="E96" s="195">
        <v>1009</v>
      </c>
      <c r="F96" s="195">
        <v>1532</v>
      </c>
      <c r="G96" s="195">
        <v>1540</v>
      </c>
      <c r="H96" s="196">
        <f>IFERROR(G96/F96-1,"-")</f>
        <v>5.2219321148825326E-3</v>
      </c>
      <c r="I96" s="212" t="str">
        <f t="shared" si="35"/>
        <v>-</v>
      </c>
      <c r="J96" s="196">
        <f>G96/G$9</f>
        <v>2.0294935491097905E-3</v>
      </c>
      <c r="K96" s="195">
        <v>0</v>
      </c>
      <c r="L96" s="195">
        <v>0</v>
      </c>
      <c r="M96" s="195">
        <v>16511</v>
      </c>
      <c r="N96" s="195">
        <v>24166</v>
      </c>
      <c r="O96" s="195">
        <v>22404</v>
      </c>
      <c r="P96" s="196">
        <f>IFERROR(O96/N96-1,"-")</f>
        <v>-7.2912356202929685E-2</v>
      </c>
      <c r="Q96" s="212" t="str">
        <f t="shared" si="42"/>
        <v>-</v>
      </c>
      <c r="R96" s="196">
        <f>O96/O$9</f>
        <v>6.3632722965891566E-3</v>
      </c>
      <c r="S96" s="195">
        <v>7339</v>
      </c>
      <c r="T96" s="195">
        <v>10731</v>
      </c>
      <c r="U96" s="195">
        <v>17520</v>
      </c>
      <c r="V96" s="195">
        <v>25698</v>
      </c>
      <c r="W96" s="195">
        <v>23944</v>
      </c>
      <c r="X96" s="196">
        <f>IFERROR(W96/V96-1,"-")</f>
        <v>-6.8254338859055186E-2</v>
      </c>
      <c r="Y96" s="212">
        <f t="shared" si="43"/>
        <v>2.2625698324022347</v>
      </c>
      <c r="Z96" s="196">
        <f t="shared" si="44"/>
        <v>4.6387580413744384E-3</v>
      </c>
    </row>
    <row r="97" spans="1:26" x14ac:dyDescent="0.25">
      <c r="A97" s="1" t="s">
        <v>148</v>
      </c>
      <c r="B97" s="190" t="s">
        <v>109</v>
      </c>
      <c r="C97" s="191">
        <v>0</v>
      </c>
      <c r="D97" s="191">
        <v>0</v>
      </c>
      <c r="E97" s="191">
        <v>1194</v>
      </c>
      <c r="F97" s="191">
        <v>2261</v>
      </c>
      <c r="G97" s="191">
        <v>2181</v>
      </c>
      <c r="H97" s="192">
        <f>IFERROR(G97/F97-1,"-")</f>
        <v>-3.5382574082264528E-2</v>
      </c>
      <c r="I97" s="211" t="str">
        <f t="shared" si="35"/>
        <v>-</v>
      </c>
      <c r="J97" s="192">
        <f>G97/G$9</f>
        <v>2.8742372926028915E-3</v>
      </c>
      <c r="K97" s="191">
        <v>0</v>
      </c>
      <c r="L97" s="191">
        <v>0</v>
      </c>
      <c r="M97" s="191">
        <v>16482</v>
      </c>
      <c r="N97" s="191">
        <v>18174</v>
      </c>
      <c r="O97" s="191">
        <v>19386</v>
      </c>
      <c r="P97" s="192">
        <f>IFERROR(O97/N97-1,"-")</f>
        <v>6.6688676130736146E-2</v>
      </c>
      <c r="Q97" s="211" t="str">
        <f t="shared" si="42"/>
        <v>-</v>
      </c>
      <c r="R97" s="192">
        <f>O97/O$9</f>
        <v>5.5060880531011156E-3</v>
      </c>
      <c r="S97" s="191">
        <v>8198</v>
      </c>
      <c r="T97" s="191">
        <v>11712</v>
      </c>
      <c r="U97" s="191">
        <v>17676</v>
      </c>
      <c r="V97" s="191">
        <v>20435</v>
      </c>
      <c r="W97" s="191">
        <v>21567</v>
      </c>
      <c r="X97" s="192">
        <f>IFERROR(W97/V97-1,"-")</f>
        <v>5.539515537068751E-2</v>
      </c>
      <c r="Y97" s="211">
        <f t="shared" si="43"/>
        <v>1.6307636008782631</v>
      </c>
      <c r="Z97" s="192">
        <f t="shared" si="44"/>
        <v>4.6800620513318819E-3</v>
      </c>
    </row>
    <row r="98" spans="1:26" x14ac:dyDescent="0.25">
      <c r="A98" s="193" t="s">
        <v>112</v>
      </c>
      <c r="B98" s="194" t="s">
        <v>112</v>
      </c>
      <c r="C98" s="195">
        <v>0</v>
      </c>
      <c r="D98" s="195">
        <v>0</v>
      </c>
      <c r="E98" s="195">
        <v>50</v>
      </c>
      <c r="F98" s="195">
        <v>173</v>
      </c>
      <c r="G98" s="195">
        <v>203</v>
      </c>
      <c r="H98" s="196">
        <f t="shared" ref="H98:H105" si="45">IFERROR(G98/F98-1,"-")</f>
        <v>0.17341040462427748</v>
      </c>
      <c r="I98" s="212" t="str">
        <f t="shared" si="35"/>
        <v>-</v>
      </c>
      <c r="J98" s="196">
        <f t="shared" ref="J98:J105" si="46">G98/G$9</f>
        <v>2.6752414965538145E-4</v>
      </c>
      <c r="K98" s="195">
        <v>0</v>
      </c>
      <c r="L98" s="195">
        <v>0</v>
      </c>
      <c r="M98" s="195">
        <v>2353</v>
      </c>
      <c r="N98" s="195">
        <v>2622</v>
      </c>
      <c r="O98" s="195">
        <v>2827</v>
      </c>
      <c r="P98" s="196">
        <f t="shared" ref="P98:P105" si="47">IFERROR(O98/N98-1,"-")</f>
        <v>7.8184591914568946E-2</v>
      </c>
      <c r="Q98" s="212" t="str">
        <f t="shared" si="42"/>
        <v>-</v>
      </c>
      <c r="R98" s="196">
        <f t="shared" ref="R98:R105" si="48">O98/O$9</f>
        <v>8.029356714183871E-4</v>
      </c>
      <c r="S98" s="195">
        <v>1288</v>
      </c>
      <c r="T98" s="195">
        <v>921</v>
      </c>
      <c r="U98" s="195">
        <v>2403</v>
      </c>
      <c r="V98" s="195">
        <v>2795</v>
      </c>
      <c r="W98" s="195">
        <v>3030</v>
      </c>
      <c r="X98" s="196">
        <f t="shared" ref="X98:X105" si="49">IFERROR(W98/V98-1,"-")</f>
        <v>8.4078711985688726E-2</v>
      </c>
      <c r="Y98" s="212">
        <f t="shared" si="43"/>
        <v>1.3524844720496896</v>
      </c>
      <c r="Z98" s="196">
        <f t="shared" si="44"/>
        <v>6.3624061492139131E-4</v>
      </c>
    </row>
    <row r="99" spans="1:26" x14ac:dyDescent="0.25">
      <c r="A99" s="193" t="s">
        <v>115</v>
      </c>
      <c r="B99" s="194" t="s">
        <v>115</v>
      </c>
      <c r="C99" s="195">
        <v>0</v>
      </c>
      <c r="D99" s="195">
        <v>0</v>
      </c>
      <c r="E99" s="195">
        <v>194</v>
      </c>
      <c r="F99" s="195">
        <v>319</v>
      </c>
      <c r="G99" s="195">
        <v>341</v>
      </c>
      <c r="H99" s="196">
        <f t="shared" si="45"/>
        <v>6.8965517241379226E-2</v>
      </c>
      <c r="I99" s="212" t="str">
        <f t="shared" si="35"/>
        <v>-</v>
      </c>
      <c r="J99" s="196">
        <f t="shared" si="46"/>
        <v>4.4938785730288215E-4</v>
      </c>
      <c r="K99" s="195">
        <v>0</v>
      </c>
      <c r="L99" s="195">
        <v>0</v>
      </c>
      <c r="M99" s="195">
        <v>3288</v>
      </c>
      <c r="N99" s="195">
        <v>3495</v>
      </c>
      <c r="O99" s="195">
        <v>3893</v>
      </c>
      <c r="P99" s="196">
        <f t="shared" si="47"/>
        <v>0.11387696709585127</v>
      </c>
      <c r="Q99" s="212" t="str">
        <f t="shared" si="42"/>
        <v>-</v>
      </c>
      <c r="R99" s="196">
        <f t="shared" si="48"/>
        <v>1.1057051888333149E-3</v>
      </c>
      <c r="S99" s="195">
        <v>1481</v>
      </c>
      <c r="T99" s="195">
        <v>2395</v>
      </c>
      <c r="U99" s="195">
        <v>3482</v>
      </c>
      <c r="V99" s="195">
        <v>3814</v>
      </c>
      <c r="W99" s="195">
        <v>4234</v>
      </c>
      <c r="X99" s="196">
        <f t="shared" si="49"/>
        <v>0.11012060828526482</v>
      </c>
      <c r="Y99" s="212">
        <f t="shared" si="43"/>
        <v>1.8588791357191088</v>
      </c>
      <c r="Z99" s="196">
        <f t="shared" si="44"/>
        <v>9.219266837937098E-4</v>
      </c>
    </row>
    <row r="100" spans="1:26" x14ac:dyDescent="0.25">
      <c r="A100" s="193" t="s">
        <v>118</v>
      </c>
      <c r="B100" s="194" t="s">
        <v>118</v>
      </c>
      <c r="C100" s="195">
        <v>0</v>
      </c>
      <c r="D100" s="195">
        <v>0</v>
      </c>
      <c r="E100" s="195">
        <v>346</v>
      </c>
      <c r="F100" s="195">
        <v>771</v>
      </c>
      <c r="G100" s="195">
        <v>574</v>
      </c>
      <c r="H100" s="196">
        <f t="shared" si="45"/>
        <v>-0.25551232166018156</v>
      </c>
      <c r="I100" s="212" t="str">
        <f t="shared" si="35"/>
        <v>-</v>
      </c>
      <c r="J100" s="196">
        <f t="shared" si="46"/>
        <v>7.5644759557728545E-4</v>
      </c>
      <c r="K100" s="195">
        <v>0</v>
      </c>
      <c r="L100" s="195">
        <v>0</v>
      </c>
      <c r="M100" s="195">
        <v>3066</v>
      </c>
      <c r="N100" s="195">
        <v>3114</v>
      </c>
      <c r="O100" s="195">
        <v>3111</v>
      </c>
      <c r="P100" s="196">
        <f t="shared" si="47"/>
        <v>-9.633911368015502E-4</v>
      </c>
      <c r="Q100" s="212" t="str">
        <f t="shared" si="42"/>
        <v>-</v>
      </c>
      <c r="R100" s="196">
        <f t="shared" si="48"/>
        <v>8.835984696790246E-4</v>
      </c>
      <c r="S100" s="195">
        <v>1974</v>
      </c>
      <c r="T100" s="195">
        <v>3541</v>
      </c>
      <c r="U100" s="195">
        <v>3412</v>
      </c>
      <c r="V100" s="195">
        <v>3885</v>
      </c>
      <c r="W100" s="195">
        <v>3685</v>
      </c>
      <c r="X100" s="196">
        <f t="shared" si="49"/>
        <v>-5.1480051480051525E-2</v>
      </c>
      <c r="Y100" s="212">
        <f t="shared" si="43"/>
        <v>0.86676798378926034</v>
      </c>
      <c r="Z100" s="196">
        <f t="shared" si="44"/>
        <v>9.0339283317177998E-4</v>
      </c>
    </row>
    <row r="101" spans="1:26" x14ac:dyDescent="0.25">
      <c r="A101" s="193" t="s">
        <v>125</v>
      </c>
      <c r="B101" s="194" t="s">
        <v>125</v>
      </c>
      <c r="C101" s="195">
        <v>0</v>
      </c>
      <c r="D101" s="195">
        <v>0</v>
      </c>
      <c r="E101" s="195">
        <v>32</v>
      </c>
      <c r="F101" s="195">
        <v>58</v>
      </c>
      <c r="G101" s="195">
        <v>90</v>
      </c>
      <c r="H101" s="196">
        <f t="shared" si="45"/>
        <v>0.55172413793103448</v>
      </c>
      <c r="I101" s="212" t="str">
        <f t="shared" si="35"/>
        <v>-</v>
      </c>
      <c r="J101" s="196">
        <f t="shared" si="46"/>
        <v>1.1860676585706567E-4</v>
      </c>
      <c r="K101" s="195">
        <v>0</v>
      </c>
      <c r="L101" s="195">
        <v>0</v>
      </c>
      <c r="M101" s="195">
        <v>1140</v>
      </c>
      <c r="N101" s="195">
        <v>880</v>
      </c>
      <c r="O101" s="195">
        <v>843</v>
      </c>
      <c r="P101" s="196">
        <f t="shared" si="47"/>
        <v>-4.2045454545454497E-2</v>
      </c>
      <c r="Q101" s="212" t="str">
        <f t="shared" si="42"/>
        <v>-</v>
      </c>
      <c r="R101" s="196">
        <f t="shared" si="48"/>
        <v>2.3943217934407511E-4</v>
      </c>
      <c r="S101" s="195">
        <v>323</v>
      </c>
      <c r="T101" s="195">
        <v>432</v>
      </c>
      <c r="U101" s="195">
        <v>1172</v>
      </c>
      <c r="V101" s="195">
        <v>938</v>
      </c>
      <c r="W101" s="195">
        <v>933</v>
      </c>
      <c r="X101" s="196">
        <f t="shared" si="49"/>
        <v>-5.3304904051172386E-3</v>
      </c>
      <c r="Y101" s="212">
        <f t="shared" si="43"/>
        <v>1.8885448916408669</v>
      </c>
      <c r="Z101" s="196">
        <f t="shared" si="44"/>
        <v>3.1030961327002524E-4</v>
      </c>
    </row>
    <row r="102" spans="1:26" x14ac:dyDescent="0.25">
      <c r="A102" s="193" t="s">
        <v>121</v>
      </c>
      <c r="B102" s="194" t="s">
        <v>121</v>
      </c>
      <c r="C102" s="195">
        <v>0</v>
      </c>
      <c r="D102" s="195">
        <v>0</v>
      </c>
      <c r="E102" s="195">
        <v>15</v>
      </c>
      <c r="F102" s="195">
        <v>87</v>
      </c>
      <c r="G102" s="195">
        <v>64</v>
      </c>
      <c r="H102" s="196">
        <f t="shared" si="45"/>
        <v>-0.26436781609195403</v>
      </c>
      <c r="I102" s="212" t="str">
        <f t="shared" si="35"/>
        <v>-</v>
      </c>
      <c r="J102" s="196">
        <f t="shared" si="46"/>
        <v>8.4342589053913367E-5</v>
      </c>
      <c r="K102" s="195">
        <v>0</v>
      </c>
      <c r="L102" s="195">
        <v>0</v>
      </c>
      <c r="M102" s="195">
        <v>667</v>
      </c>
      <c r="N102" s="195">
        <v>563</v>
      </c>
      <c r="O102" s="195">
        <v>839</v>
      </c>
      <c r="P102" s="196">
        <f t="shared" si="47"/>
        <v>0.49023090586145646</v>
      </c>
      <c r="Q102" s="212" t="str">
        <f t="shared" si="42"/>
        <v>-</v>
      </c>
      <c r="R102" s="196">
        <f t="shared" si="48"/>
        <v>2.382960835939253E-4</v>
      </c>
      <c r="S102" s="195">
        <v>351</v>
      </c>
      <c r="T102" s="195">
        <v>507</v>
      </c>
      <c r="U102" s="195">
        <v>682</v>
      </c>
      <c r="V102" s="195">
        <v>650</v>
      </c>
      <c r="W102" s="195">
        <v>903</v>
      </c>
      <c r="X102" s="196">
        <f t="shared" si="49"/>
        <v>0.38923076923076927</v>
      </c>
      <c r="Y102" s="212">
        <f t="shared" si="43"/>
        <v>1.5726495726495728</v>
      </c>
      <c r="Z102" s="196">
        <f t="shared" si="44"/>
        <v>1.8057265891651639E-4</v>
      </c>
    </row>
    <row r="103" spans="1:26" x14ac:dyDescent="0.25">
      <c r="A103" s="193" t="s">
        <v>130</v>
      </c>
      <c r="B103" s="194" t="s">
        <v>130</v>
      </c>
      <c r="C103" s="195">
        <v>0</v>
      </c>
      <c r="D103" s="195">
        <v>0</v>
      </c>
      <c r="E103" s="195">
        <v>10</v>
      </c>
      <c r="F103" s="195">
        <v>22</v>
      </c>
      <c r="G103" s="195">
        <v>28</v>
      </c>
      <c r="H103" s="196">
        <f t="shared" si="45"/>
        <v>0.27272727272727271</v>
      </c>
      <c r="I103" s="212" t="str">
        <f t="shared" si="35"/>
        <v>-</v>
      </c>
      <c r="J103" s="196">
        <f t="shared" si="46"/>
        <v>3.68998827110871E-5</v>
      </c>
      <c r="K103" s="195">
        <v>0</v>
      </c>
      <c r="L103" s="195">
        <v>0</v>
      </c>
      <c r="M103" s="195">
        <v>260</v>
      </c>
      <c r="N103" s="195">
        <v>131</v>
      </c>
      <c r="O103" s="195">
        <v>202</v>
      </c>
      <c r="P103" s="196">
        <f t="shared" si="47"/>
        <v>0.54198473282442738</v>
      </c>
      <c r="Q103" s="212" t="str">
        <f t="shared" si="42"/>
        <v>-</v>
      </c>
      <c r="R103" s="196">
        <f t="shared" si="48"/>
        <v>5.7372835382566045E-5</v>
      </c>
      <c r="S103" s="195">
        <v>124</v>
      </c>
      <c r="T103" s="195">
        <v>105</v>
      </c>
      <c r="U103" s="195">
        <v>270</v>
      </c>
      <c r="V103" s="195">
        <v>153</v>
      </c>
      <c r="W103" s="195">
        <v>230</v>
      </c>
      <c r="X103" s="196">
        <f t="shared" si="49"/>
        <v>0.50326797385620914</v>
      </c>
      <c r="Y103" s="212">
        <f t="shared" si="43"/>
        <v>0.85483870967741926</v>
      </c>
      <c r="Z103" s="196">
        <f t="shared" si="44"/>
        <v>7.1487709541729355E-5</v>
      </c>
    </row>
    <row r="104" spans="1:26" x14ac:dyDescent="0.25">
      <c r="A104" s="193" t="s">
        <v>133</v>
      </c>
      <c r="B104" s="194" t="s">
        <v>133</v>
      </c>
      <c r="C104" s="195">
        <v>0</v>
      </c>
      <c r="D104" s="195">
        <v>0</v>
      </c>
      <c r="E104" s="195">
        <v>11</v>
      </c>
      <c r="F104" s="195">
        <v>10</v>
      </c>
      <c r="G104" s="195">
        <v>25</v>
      </c>
      <c r="H104" s="196">
        <f t="shared" si="45"/>
        <v>1.5</v>
      </c>
      <c r="I104" s="212" t="str">
        <f t="shared" si="35"/>
        <v>-</v>
      </c>
      <c r="J104" s="196">
        <f t="shared" si="46"/>
        <v>3.2946323849184909E-5</v>
      </c>
      <c r="K104" s="195">
        <v>0</v>
      </c>
      <c r="L104" s="195">
        <v>0</v>
      </c>
      <c r="M104" s="195">
        <v>157</v>
      </c>
      <c r="N104" s="195">
        <v>260</v>
      </c>
      <c r="O104" s="195">
        <v>359</v>
      </c>
      <c r="P104" s="196">
        <f t="shared" si="47"/>
        <v>0.38076923076923075</v>
      </c>
      <c r="Q104" s="212" t="str">
        <f t="shared" si="42"/>
        <v>-</v>
      </c>
      <c r="R104" s="196">
        <f t="shared" si="48"/>
        <v>1.0196459357594658E-4</v>
      </c>
      <c r="S104" s="195">
        <v>89</v>
      </c>
      <c r="T104" s="195">
        <v>96</v>
      </c>
      <c r="U104" s="195">
        <v>168</v>
      </c>
      <c r="V104" s="195">
        <v>270</v>
      </c>
      <c r="W104" s="195">
        <v>384</v>
      </c>
      <c r="X104" s="196">
        <f t="shared" si="49"/>
        <v>0.42222222222222228</v>
      </c>
      <c r="Y104" s="212">
        <f t="shared" si="43"/>
        <v>3.3146067415730336</v>
      </c>
      <c r="Z104" s="196">
        <f t="shared" si="44"/>
        <v>4.44812414926316E-5</v>
      </c>
    </row>
    <row r="105" spans="1:26" x14ac:dyDescent="0.25">
      <c r="A105" s="198" t="s">
        <v>147</v>
      </c>
      <c r="B105" s="199" t="s">
        <v>147</v>
      </c>
      <c r="C105" s="200">
        <f>C97-SUM(C98:C104)</f>
        <v>0</v>
      </c>
      <c r="D105" s="200">
        <f>D97-SUM(D98:D104)</f>
        <v>0</v>
      </c>
      <c r="E105" s="200">
        <f>E97-SUM(E98:E104)</f>
        <v>536</v>
      </c>
      <c r="F105" s="200">
        <f>F97-SUM(F98:F104)</f>
        <v>821</v>
      </c>
      <c r="G105" s="200">
        <f>G97-SUM(G98:G104)</f>
        <v>856</v>
      </c>
      <c r="H105" s="201">
        <f t="shared" si="45"/>
        <v>4.2630937880633324E-2</v>
      </c>
      <c r="I105" s="213" t="str">
        <f t="shared" si="35"/>
        <v>-</v>
      </c>
      <c r="J105" s="201">
        <f t="shared" si="46"/>
        <v>1.1280821285960913E-3</v>
      </c>
      <c r="K105" s="200">
        <f>K97-SUM(K98:K104)</f>
        <v>0</v>
      </c>
      <c r="L105" s="200">
        <f>L97-SUM(L98:L104)</f>
        <v>0</v>
      </c>
      <c r="M105" s="200">
        <f>M97-SUM(M98:M104)</f>
        <v>5551</v>
      </c>
      <c r="N105" s="200">
        <f>N97-SUM(N98:N104)</f>
        <v>7109</v>
      </c>
      <c r="O105" s="200">
        <f>O97-SUM(O98:O104)</f>
        <v>7312</v>
      </c>
      <c r="P105" s="201">
        <f t="shared" si="47"/>
        <v>2.8555352370234877E-2</v>
      </c>
      <c r="Q105" s="213" t="str">
        <f t="shared" si="42"/>
        <v>-</v>
      </c>
      <c r="R105" s="201">
        <f t="shared" si="48"/>
        <v>2.0767830312738759E-3</v>
      </c>
      <c r="S105" s="200">
        <f>S97-SUM(S98:S104)</f>
        <v>2568</v>
      </c>
      <c r="T105" s="200">
        <f>T97-SUM(T98:T104)</f>
        <v>3715</v>
      </c>
      <c r="U105" s="200">
        <f>U97-SUM(U98:U104)</f>
        <v>6087</v>
      </c>
      <c r="V105" s="200">
        <f>V97-SUM(V98:V104)</f>
        <v>7930</v>
      </c>
      <c r="W105" s="200">
        <f>W97-SUM(W98:W104)</f>
        <v>8168</v>
      </c>
      <c r="X105" s="201">
        <f t="shared" si="49"/>
        <v>3.0012610340479196E-2</v>
      </c>
      <c r="Y105" s="213">
        <f t="shared" si="43"/>
        <v>2.1806853582554515</v>
      </c>
      <c r="Z105" s="201">
        <f t="shared" si="44"/>
        <v>1.6116506962240986E-3</v>
      </c>
    </row>
    <row r="106" spans="1:26" x14ac:dyDescent="0.25">
      <c r="A106" s="1"/>
      <c r="B106" s="186" t="s">
        <v>52</v>
      </c>
      <c r="C106" s="184"/>
      <c r="D106" s="184"/>
      <c r="E106" s="184"/>
      <c r="F106" s="184"/>
      <c r="G106" s="184"/>
      <c r="H106" s="184"/>
      <c r="I106" s="184"/>
      <c r="J106" s="184"/>
      <c r="K106" s="184"/>
      <c r="L106" s="184"/>
      <c r="M106" s="184"/>
      <c r="N106" s="184"/>
      <c r="O106" s="184"/>
      <c r="P106" s="184"/>
      <c r="Q106" s="184"/>
      <c r="R106" s="184"/>
      <c r="S106" s="184"/>
      <c r="T106" s="184"/>
      <c r="U106" s="184"/>
      <c r="V106" s="184"/>
      <c r="W106" s="184"/>
      <c r="X106" s="184"/>
      <c r="Y106" s="184"/>
      <c r="Z106" s="184"/>
    </row>
    <row r="107" spans="1:26" x14ac:dyDescent="0.25">
      <c r="A107" s="1" t="s">
        <v>0</v>
      </c>
      <c r="B107" s="187" t="s">
        <v>70</v>
      </c>
      <c r="C107" s="209">
        <f>C108+C111</f>
        <v>0</v>
      </c>
      <c r="D107" s="209">
        <f>D108+D111</f>
        <v>0</v>
      </c>
      <c r="E107" s="209">
        <f>E108+E111</f>
        <v>0</v>
      </c>
      <c r="F107" s="209">
        <f>F108+F111</f>
        <v>0</v>
      </c>
      <c r="G107" s="209">
        <f>G108+G111</f>
        <v>0</v>
      </c>
      <c r="H107" s="210" t="str">
        <f>IFERROR(G107/F107-1,"-")</f>
        <v>-</v>
      </c>
      <c r="I107" s="210" t="str">
        <f t="shared" si="35"/>
        <v>-</v>
      </c>
      <c r="J107" s="210">
        <f>G107/G$9</f>
        <v>0</v>
      </c>
      <c r="K107" s="209">
        <f>K108+K111</f>
        <v>0</v>
      </c>
      <c r="L107" s="209">
        <f>L108+L111</f>
        <v>0</v>
      </c>
      <c r="M107" s="209">
        <f>M108+M111</f>
        <v>0</v>
      </c>
      <c r="N107" s="209">
        <f>N108+N111</f>
        <v>0</v>
      </c>
      <c r="O107" s="209">
        <f>O108+O111</f>
        <v>0</v>
      </c>
      <c r="P107" s="210" t="str">
        <f>IFERROR(O107/N107-1,"-")</f>
        <v>-</v>
      </c>
      <c r="Q107" s="210" t="str">
        <f t="shared" si="42"/>
        <v>-</v>
      </c>
      <c r="R107" s="210">
        <f>O107/O$9</f>
        <v>0</v>
      </c>
      <c r="S107" s="209">
        <f>S108+S111</f>
        <v>63499</v>
      </c>
      <c r="T107" s="209">
        <f>T108+T111</f>
        <v>95997</v>
      </c>
      <c r="U107" s="209">
        <f>U108+U111</f>
        <v>169794</v>
      </c>
      <c r="V107" s="209">
        <f>V108+V111</f>
        <v>220761</v>
      </c>
      <c r="W107" s="209">
        <f>W108+W111</f>
        <v>207278</v>
      </c>
      <c r="X107" s="210">
        <f>IFERROR(W107/V107-1,"-")</f>
        <v>-6.1075099315549441E-2</v>
      </c>
      <c r="Y107" s="210">
        <f t="shared" si="43"/>
        <v>2.2642718782972961</v>
      </c>
      <c r="Z107" s="210">
        <f t="shared" ref="Z107:Z119" si="50">U107/U$9</f>
        <v>4.4956237607142208E-2</v>
      </c>
    </row>
    <row r="108" spans="1:26" x14ac:dyDescent="0.25">
      <c r="A108" s="1" t="s">
        <v>98</v>
      </c>
      <c r="B108" s="190" t="s">
        <v>99</v>
      </c>
      <c r="C108" s="191">
        <v>0</v>
      </c>
      <c r="D108" s="191">
        <v>0</v>
      </c>
      <c r="E108" s="191">
        <v>0</v>
      </c>
      <c r="F108" s="191">
        <v>0</v>
      </c>
      <c r="G108" s="191">
        <v>0</v>
      </c>
      <c r="H108" s="192" t="str">
        <f>IFERROR(G108/F108-1,"-")</f>
        <v>-</v>
      </c>
      <c r="I108" s="211" t="str">
        <f t="shared" si="35"/>
        <v>-</v>
      </c>
      <c r="J108" s="192">
        <f>G108/G$9</f>
        <v>0</v>
      </c>
      <c r="K108" s="191">
        <v>0</v>
      </c>
      <c r="L108" s="191">
        <v>0</v>
      </c>
      <c r="M108" s="191">
        <v>0</v>
      </c>
      <c r="N108" s="191">
        <v>0</v>
      </c>
      <c r="O108" s="191">
        <v>0</v>
      </c>
      <c r="P108" s="192" t="str">
        <f>IFERROR(O108/N108-1,"-")</f>
        <v>-</v>
      </c>
      <c r="Q108" s="211" t="str">
        <f t="shared" si="42"/>
        <v>-</v>
      </c>
      <c r="R108" s="192">
        <f>O108/O$9</f>
        <v>0</v>
      </c>
      <c r="S108" s="191">
        <v>28387</v>
      </c>
      <c r="T108" s="191">
        <v>39659</v>
      </c>
      <c r="U108" s="191">
        <v>41132</v>
      </c>
      <c r="V108" s="191">
        <v>48543</v>
      </c>
      <c r="W108" s="191">
        <v>43479</v>
      </c>
      <c r="X108" s="192">
        <f>IFERROR(W108/V108-1,"-")</f>
        <v>-0.10431988134231507</v>
      </c>
      <c r="Y108" s="211">
        <f t="shared" si="43"/>
        <v>0.53165181244936055</v>
      </c>
      <c r="Z108" s="192">
        <f t="shared" si="50"/>
        <v>1.089049062544597E-2</v>
      </c>
    </row>
    <row r="109" spans="1:26" x14ac:dyDescent="0.25">
      <c r="A109" s="193" t="s">
        <v>105</v>
      </c>
      <c r="B109" s="194" t="s">
        <v>105</v>
      </c>
      <c r="C109" s="195">
        <v>0</v>
      </c>
      <c r="D109" s="195">
        <v>0</v>
      </c>
      <c r="E109" s="195">
        <v>0</v>
      </c>
      <c r="F109" s="195">
        <v>0</v>
      </c>
      <c r="G109" s="195">
        <v>0</v>
      </c>
      <c r="H109" s="196" t="str">
        <f>IFERROR(G109/F109-1,"-")</f>
        <v>-</v>
      </c>
      <c r="I109" s="212" t="str">
        <f t="shared" si="35"/>
        <v>-</v>
      </c>
      <c r="J109" s="196">
        <f>G109/G$9</f>
        <v>0</v>
      </c>
      <c r="K109" s="195">
        <v>0</v>
      </c>
      <c r="L109" s="195">
        <v>0</v>
      </c>
      <c r="M109" s="195">
        <v>0</v>
      </c>
      <c r="N109" s="195">
        <v>0</v>
      </c>
      <c r="O109" s="195">
        <v>0</v>
      </c>
      <c r="P109" s="196" t="str">
        <f>IFERROR(O109/N109-1,"-")</f>
        <v>-</v>
      </c>
      <c r="Q109" s="212" t="str">
        <f t="shared" si="42"/>
        <v>-</v>
      </c>
      <c r="R109" s="196">
        <f>O109/O$9</f>
        <v>0</v>
      </c>
      <c r="S109" s="195">
        <v>3383</v>
      </c>
      <c r="T109" s="195">
        <v>20351</v>
      </c>
      <c r="U109" s="195">
        <v>11031</v>
      </c>
      <c r="V109" s="195">
        <v>14560</v>
      </c>
      <c r="W109" s="195">
        <v>12208</v>
      </c>
      <c r="X109" s="196">
        <f>IFERROR(W109/V109-1,"-")</f>
        <v>-0.16153846153846152</v>
      </c>
      <c r="Y109" s="212">
        <f t="shared" si="43"/>
        <v>2.6086313922553948</v>
      </c>
      <c r="Z109" s="196">
        <f t="shared" si="50"/>
        <v>2.9206700887215429E-3</v>
      </c>
    </row>
    <row r="110" spans="1:26" x14ac:dyDescent="0.25">
      <c r="A110" s="193" t="s">
        <v>102</v>
      </c>
      <c r="B110" s="194" t="s">
        <v>102</v>
      </c>
      <c r="C110" s="195">
        <v>0</v>
      </c>
      <c r="D110" s="195">
        <v>0</v>
      </c>
      <c r="E110" s="195">
        <v>0</v>
      </c>
      <c r="F110" s="195">
        <v>0</v>
      </c>
      <c r="G110" s="195">
        <v>0</v>
      </c>
      <c r="H110" s="196" t="str">
        <f>IFERROR(G110/F110-1,"-")</f>
        <v>-</v>
      </c>
      <c r="I110" s="212" t="str">
        <f t="shared" si="35"/>
        <v>-</v>
      </c>
      <c r="J110" s="196">
        <f>G110/G$9</f>
        <v>0</v>
      </c>
      <c r="K110" s="195">
        <v>0</v>
      </c>
      <c r="L110" s="195">
        <v>0</v>
      </c>
      <c r="M110" s="195">
        <v>0</v>
      </c>
      <c r="N110" s="195">
        <v>0</v>
      </c>
      <c r="O110" s="195">
        <v>0</v>
      </c>
      <c r="P110" s="196" t="str">
        <f>IFERROR(O110/N110-1,"-")</f>
        <v>-</v>
      </c>
      <c r="Q110" s="212" t="str">
        <f t="shared" si="42"/>
        <v>-</v>
      </c>
      <c r="R110" s="196">
        <f>O110/O$9</f>
        <v>0</v>
      </c>
      <c r="S110" s="195">
        <v>25004</v>
      </c>
      <c r="T110" s="195">
        <v>19308</v>
      </c>
      <c r="U110" s="195">
        <v>30101</v>
      </c>
      <c r="V110" s="195">
        <v>33983</v>
      </c>
      <c r="W110" s="195">
        <v>31271</v>
      </c>
      <c r="X110" s="196">
        <f>IFERROR(W110/V110-1,"-")</f>
        <v>-7.9804608186446191E-2</v>
      </c>
      <c r="Y110" s="212">
        <f t="shared" si="43"/>
        <v>0.25063989761638128</v>
      </c>
      <c r="Z110" s="196">
        <f t="shared" si="50"/>
        <v>7.9698205367244278E-3</v>
      </c>
    </row>
    <row r="111" spans="1:26" x14ac:dyDescent="0.25">
      <c r="A111" s="1" t="s">
        <v>148</v>
      </c>
      <c r="B111" s="190" t="s">
        <v>109</v>
      </c>
      <c r="C111" s="191">
        <v>0</v>
      </c>
      <c r="D111" s="191">
        <v>0</v>
      </c>
      <c r="E111" s="191">
        <v>0</v>
      </c>
      <c r="F111" s="191">
        <v>0</v>
      </c>
      <c r="G111" s="191">
        <v>0</v>
      </c>
      <c r="H111" s="192" t="str">
        <f>IFERROR(G111/F111-1,"-")</f>
        <v>-</v>
      </c>
      <c r="I111" s="211" t="str">
        <f t="shared" si="35"/>
        <v>-</v>
      </c>
      <c r="J111" s="192">
        <f>G111/G$9</f>
        <v>0</v>
      </c>
      <c r="K111" s="191">
        <v>0</v>
      </c>
      <c r="L111" s="191">
        <v>0</v>
      </c>
      <c r="M111" s="191">
        <v>0</v>
      </c>
      <c r="N111" s="191">
        <v>0</v>
      </c>
      <c r="O111" s="191">
        <v>0</v>
      </c>
      <c r="P111" s="192" t="str">
        <f>IFERROR(O111/N111-1,"-")</f>
        <v>-</v>
      </c>
      <c r="Q111" s="211" t="str">
        <f t="shared" si="42"/>
        <v>-</v>
      </c>
      <c r="R111" s="192">
        <f>O111/O$9</f>
        <v>0</v>
      </c>
      <c r="S111" s="191">
        <v>35112</v>
      </c>
      <c r="T111" s="191">
        <v>56338</v>
      </c>
      <c r="U111" s="191">
        <v>128662</v>
      </c>
      <c r="V111" s="191">
        <v>172218</v>
      </c>
      <c r="W111" s="191">
        <v>163799</v>
      </c>
      <c r="X111" s="192">
        <f>IFERROR(W111/V111-1,"-")</f>
        <v>-4.8885714617519671E-2</v>
      </c>
      <c r="Y111" s="211">
        <f t="shared" si="43"/>
        <v>3.6650432900432897</v>
      </c>
      <c r="Z111" s="192">
        <f t="shared" si="50"/>
        <v>3.4065746981696232E-2</v>
      </c>
    </row>
    <row r="112" spans="1:26" x14ac:dyDescent="0.25">
      <c r="A112" s="193" t="s">
        <v>112</v>
      </c>
      <c r="B112" s="194" t="s">
        <v>112</v>
      </c>
      <c r="C112" s="195">
        <v>0</v>
      </c>
      <c r="D112" s="195">
        <v>0</v>
      </c>
      <c r="E112" s="195">
        <v>0</v>
      </c>
      <c r="F112" s="195">
        <v>0</v>
      </c>
      <c r="G112" s="195">
        <v>0</v>
      </c>
      <c r="H112" s="196" t="str">
        <f t="shared" ref="H112:H119" si="51">IFERROR(G112/F112-1,"-")</f>
        <v>-</v>
      </c>
      <c r="I112" s="212" t="str">
        <f t="shared" si="35"/>
        <v>-</v>
      </c>
      <c r="J112" s="196">
        <f t="shared" ref="J112:J119" si="52">G112/G$9</f>
        <v>0</v>
      </c>
      <c r="K112" s="195">
        <v>0</v>
      </c>
      <c r="L112" s="195">
        <v>0</v>
      </c>
      <c r="M112" s="195">
        <v>0</v>
      </c>
      <c r="N112" s="195">
        <v>0</v>
      </c>
      <c r="O112" s="195">
        <v>0</v>
      </c>
      <c r="P112" s="196" t="str">
        <f t="shared" ref="P112:P119" si="53">IFERROR(O112/N112-1,"-")</f>
        <v>-</v>
      </c>
      <c r="Q112" s="212" t="str">
        <f t="shared" si="42"/>
        <v>-</v>
      </c>
      <c r="R112" s="196">
        <f t="shared" ref="R112:R119" si="54">O112/O$9</f>
        <v>0</v>
      </c>
      <c r="S112" s="195">
        <v>20258</v>
      </c>
      <c r="T112" s="195">
        <v>23009</v>
      </c>
      <c r="U112" s="195">
        <v>77726</v>
      </c>
      <c r="V112" s="195">
        <v>113230</v>
      </c>
      <c r="W112" s="195">
        <v>102157</v>
      </c>
      <c r="X112" s="196">
        <f t="shared" ref="X112:X119" si="55">IFERROR(W112/V112-1,"-")</f>
        <v>-9.7792104565927795E-2</v>
      </c>
      <c r="Y112" s="212">
        <f t="shared" si="43"/>
        <v>4.042797906999704</v>
      </c>
      <c r="Z112" s="196">
        <f t="shared" si="50"/>
        <v>2.0579458192001691E-2</v>
      </c>
    </row>
    <row r="113" spans="1:26" x14ac:dyDescent="0.25">
      <c r="A113" s="193" t="s">
        <v>115</v>
      </c>
      <c r="B113" s="194" t="s">
        <v>115</v>
      </c>
      <c r="C113" s="195">
        <v>0</v>
      </c>
      <c r="D113" s="195">
        <v>0</v>
      </c>
      <c r="E113" s="195">
        <v>0</v>
      </c>
      <c r="F113" s="195">
        <v>0</v>
      </c>
      <c r="G113" s="195">
        <v>0</v>
      </c>
      <c r="H113" s="196" t="str">
        <f t="shared" si="51"/>
        <v>-</v>
      </c>
      <c r="I113" s="212" t="str">
        <f t="shared" si="35"/>
        <v>-</v>
      </c>
      <c r="J113" s="196">
        <f t="shared" si="52"/>
        <v>0</v>
      </c>
      <c r="K113" s="195">
        <v>0</v>
      </c>
      <c r="L113" s="195">
        <v>0</v>
      </c>
      <c r="M113" s="195">
        <v>0</v>
      </c>
      <c r="N113" s="195">
        <v>0</v>
      </c>
      <c r="O113" s="195">
        <v>0</v>
      </c>
      <c r="P113" s="196" t="str">
        <f t="shared" si="53"/>
        <v>-</v>
      </c>
      <c r="Q113" s="212" t="str">
        <f t="shared" si="42"/>
        <v>-</v>
      </c>
      <c r="R113" s="196">
        <f t="shared" si="54"/>
        <v>0</v>
      </c>
      <c r="S113" s="195">
        <v>2717</v>
      </c>
      <c r="T113" s="195">
        <v>6854</v>
      </c>
      <c r="U113" s="195">
        <v>5917</v>
      </c>
      <c r="V113" s="195">
        <v>7594</v>
      </c>
      <c r="W113" s="195">
        <v>7215</v>
      </c>
      <c r="X113" s="196">
        <f t="shared" si="55"/>
        <v>-4.9907821964708998E-2</v>
      </c>
      <c r="Y113" s="212">
        <f t="shared" si="43"/>
        <v>1.6555023923444976</v>
      </c>
      <c r="Z113" s="196">
        <f t="shared" si="50"/>
        <v>1.5666399161422689E-3</v>
      </c>
    </row>
    <row r="114" spans="1:26" x14ac:dyDescent="0.25">
      <c r="A114" s="193" t="s">
        <v>118</v>
      </c>
      <c r="B114" s="194" t="s">
        <v>118</v>
      </c>
      <c r="C114" s="195">
        <v>0</v>
      </c>
      <c r="D114" s="195">
        <v>0</v>
      </c>
      <c r="E114" s="195">
        <v>0</v>
      </c>
      <c r="F114" s="195">
        <v>0</v>
      </c>
      <c r="G114" s="195">
        <v>0</v>
      </c>
      <c r="H114" s="196" t="str">
        <f t="shared" si="51"/>
        <v>-</v>
      </c>
      <c r="I114" s="212" t="str">
        <f t="shared" si="35"/>
        <v>-</v>
      </c>
      <c r="J114" s="196">
        <f t="shared" si="52"/>
        <v>0</v>
      </c>
      <c r="K114" s="195">
        <v>0</v>
      </c>
      <c r="L114" s="195">
        <v>0</v>
      </c>
      <c r="M114" s="195">
        <v>0</v>
      </c>
      <c r="N114" s="195">
        <v>0</v>
      </c>
      <c r="O114" s="195">
        <v>0</v>
      </c>
      <c r="P114" s="196" t="str">
        <f t="shared" si="53"/>
        <v>-</v>
      </c>
      <c r="Q114" s="212" t="str">
        <f t="shared" si="42"/>
        <v>-</v>
      </c>
      <c r="R114" s="196">
        <f t="shared" si="54"/>
        <v>0</v>
      </c>
      <c r="S114" s="195">
        <v>1871</v>
      </c>
      <c r="T114" s="195">
        <v>6300</v>
      </c>
      <c r="U114" s="195">
        <v>8638</v>
      </c>
      <c r="V114" s="195">
        <v>12056</v>
      </c>
      <c r="W114" s="195">
        <v>12800</v>
      </c>
      <c r="X114" s="196">
        <f t="shared" si="55"/>
        <v>6.1712010617120061E-2</v>
      </c>
      <c r="Y114" s="212">
        <f t="shared" si="43"/>
        <v>5.841261357562801</v>
      </c>
      <c r="Z114" s="196">
        <f t="shared" si="50"/>
        <v>2.2870771667461414E-3</v>
      </c>
    </row>
    <row r="115" spans="1:26" x14ac:dyDescent="0.25">
      <c r="A115" s="193" t="s">
        <v>125</v>
      </c>
      <c r="B115" s="194" t="s">
        <v>125</v>
      </c>
      <c r="C115" s="195">
        <v>0</v>
      </c>
      <c r="D115" s="195">
        <v>0</v>
      </c>
      <c r="E115" s="195">
        <v>0</v>
      </c>
      <c r="F115" s="195">
        <v>0</v>
      </c>
      <c r="G115" s="195">
        <v>0</v>
      </c>
      <c r="H115" s="196" t="str">
        <f t="shared" si="51"/>
        <v>-</v>
      </c>
      <c r="I115" s="212" t="str">
        <f t="shared" si="35"/>
        <v>-</v>
      </c>
      <c r="J115" s="196">
        <f t="shared" si="52"/>
        <v>0</v>
      </c>
      <c r="K115" s="195">
        <v>0</v>
      </c>
      <c r="L115" s="195">
        <v>0</v>
      </c>
      <c r="M115" s="195">
        <v>0</v>
      </c>
      <c r="N115" s="195">
        <v>0</v>
      </c>
      <c r="O115" s="195">
        <v>0</v>
      </c>
      <c r="P115" s="196" t="str">
        <f t="shared" si="53"/>
        <v>-</v>
      </c>
      <c r="Q115" s="212" t="str">
        <f t="shared" si="42"/>
        <v>-</v>
      </c>
      <c r="R115" s="196">
        <f t="shared" si="54"/>
        <v>0</v>
      </c>
      <c r="S115" s="195">
        <v>1133</v>
      </c>
      <c r="T115" s="195">
        <v>3529</v>
      </c>
      <c r="U115" s="195">
        <v>5894</v>
      </c>
      <c r="V115" s="195">
        <v>6032</v>
      </c>
      <c r="W115" s="195">
        <v>5918</v>
      </c>
      <c r="X115" s="196">
        <f t="shared" si="55"/>
        <v>-1.8899204244031798E-2</v>
      </c>
      <c r="Y115" s="212">
        <f t="shared" si="43"/>
        <v>4.2233009708737868</v>
      </c>
      <c r="Z115" s="196">
        <f t="shared" si="50"/>
        <v>1.5605502223664921E-3</v>
      </c>
    </row>
    <row r="116" spans="1:26" x14ac:dyDescent="0.25">
      <c r="A116" s="193" t="s">
        <v>121</v>
      </c>
      <c r="B116" s="194" t="s">
        <v>121</v>
      </c>
      <c r="C116" s="195">
        <v>0</v>
      </c>
      <c r="D116" s="195">
        <v>0</v>
      </c>
      <c r="E116" s="195">
        <v>0</v>
      </c>
      <c r="F116" s="195">
        <v>0</v>
      </c>
      <c r="G116" s="195">
        <v>0</v>
      </c>
      <c r="H116" s="196" t="str">
        <f t="shared" si="51"/>
        <v>-</v>
      </c>
      <c r="I116" s="212" t="str">
        <f t="shared" si="35"/>
        <v>-</v>
      </c>
      <c r="J116" s="196">
        <f t="shared" si="52"/>
        <v>0</v>
      </c>
      <c r="K116" s="195">
        <v>0</v>
      </c>
      <c r="L116" s="195">
        <v>0</v>
      </c>
      <c r="M116" s="195">
        <v>0</v>
      </c>
      <c r="N116" s="195">
        <v>0</v>
      </c>
      <c r="O116" s="195">
        <v>0</v>
      </c>
      <c r="P116" s="196" t="str">
        <f t="shared" si="53"/>
        <v>-</v>
      </c>
      <c r="Q116" s="212" t="str">
        <f t="shared" si="42"/>
        <v>-</v>
      </c>
      <c r="R116" s="196">
        <f t="shared" si="54"/>
        <v>0</v>
      </c>
      <c r="S116" s="195">
        <v>2557</v>
      </c>
      <c r="T116" s="195">
        <v>4170</v>
      </c>
      <c r="U116" s="195">
        <v>4317</v>
      </c>
      <c r="V116" s="195">
        <v>4916</v>
      </c>
      <c r="W116" s="195">
        <v>4686</v>
      </c>
      <c r="X116" s="196">
        <f t="shared" si="55"/>
        <v>-4.6786004882017895E-2</v>
      </c>
      <c r="Y116" s="212">
        <f t="shared" si="43"/>
        <v>0.83261634728197098</v>
      </c>
      <c r="Z116" s="196">
        <f t="shared" si="50"/>
        <v>1.1430090447838727E-3</v>
      </c>
    </row>
    <row r="117" spans="1:26" x14ac:dyDescent="0.25">
      <c r="A117" s="193" t="s">
        <v>130</v>
      </c>
      <c r="B117" s="194" t="s">
        <v>130</v>
      </c>
      <c r="C117" s="195">
        <v>0</v>
      </c>
      <c r="D117" s="195">
        <v>0</v>
      </c>
      <c r="E117" s="195">
        <v>0</v>
      </c>
      <c r="F117" s="195">
        <v>0</v>
      </c>
      <c r="G117" s="195">
        <v>0</v>
      </c>
      <c r="H117" s="196" t="str">
        <f t="shared" si="51"/>
        <v>-</v>
      </c>
      <c r="I117" s="212" t="str">
        <f t="shared" si="35"/>
        <v>-</v>
      </c>
      <c r="J117" s="196">
        <f t="shared" si="52"/>
        <v>0</v>
      </c>
      <c r="K117" s="195">
        <v>0</v>
      </c>
      <c r="L117" s="195">
        <v>0</v>
      </c>
      <c r="M117" s="195">
        <v>0</v>
      </c>
      <c r="N117" s="195">
        <v>0</v>
      </c>
      <c r="O117" s="195">
        <v>0</v>
      </c>
      <c r="P117" s="196" t="str">
        <f t="shared" si="53"/>
        <v>-</v>
      </c>
      <c r="Q117" s="212" t="str">
        <f t="shared" si="42"/>
        <v>-</v>
      </c>
      <c r="R117" s="196">
        <f t="shared" si="54"/>
        <v>0</v>
      </c>
      <c r="S117" s="195">
        <v>226</v>
      </c>
      <c r="T117" s="195">
        <v>308</v>
      </c>
      <c r="U117" s="195">
        <v>1123</v>
      </c>
      <c r="V117" s="195">
        <v>1300</v>
      </c>
      <c r="W117" s="195">
        <v>1069</v>
      </c>
      <c r="X117" s="196">
        <f t="shared" si="55"/>
        <v>-0.1776923076923077</v>
      </c>
      <c r="Y117" s="212">
        <f t="shared" si="43"/>
        <v>3.7300884955752212</v>
      </c>
      <c r="Z117" s="196">
        <f t="shared" si="50"/>
        <v>2.9733591783467434E-4</v>
      </c>
    </row>
    <row r="118" spans="1:26" x14ac:dyDescent="0.25">
      <c r="A118" s="193" t="s">
        <v>133</v>
      </c>
      <c r="B118" s="194" t="s">
        <v>133</v>
      </c>
      <c r="C118" s="195">
        <v>0</v>
      </c>
      <c r="D118" s="195">
        <v>0</v>
      </c>
      <c r="E118" s="195">
        <v>0</v>
      </c>
      <c r="F118" s="195">
        <v>0</v>
      </c>
      <c r="G118" s="195">
        <v>0</v>
      </c>
      <c r="H118" s="196" t="str">
        <f t="shared" si="51"/>
        <v>-</v>
      </c>
      <c r="I118" s="212" t="str">
        <f t="shared" si="35"/>
        <v>-</v>
      </c>
      <c r="J118" s="196">
        <f t="shared" si="52"/>
        <v>0</v>
      </c>
      <c r="K118" s="195">
        <v>0</v>
      </c>
      <c r="L118" s="195">
        <v>0</v>
      </c>
      <c r="M118" s="195">
        <v>0</v>
      </c>
      <c r="N118" s="195">
        <v>0</v>
      </c>
      <c r="O118" s="195">
        <v>0</v>
      </c>
      <c r="P118" s="196" t="str">
        <f t="shared" si="53"/>
        <v>-</v>
      </c>
      <c r="Q118" s="212" t="str">
        <f t="shared" si="42"/>
        <v>-</v>
      </c>
      <c r="R118" s="196">
        <f t="shared" si="54"/>
        <v>0</v>
      </c>
      <c r="S118" s="195">
        <v>549</v>
      </c>
      <c r="T118" s="195">
        <v>470</v>
      </c>
      <c r="U118" s="195">
        <v>840</v>
      </c>
      <c r="V118" s="195">
        <v>770</v>
      </c>
      <c r="W118" s="195">
        <v>1368</v>
      </c>
      <c r="X118" s="196">
        <f t="shared" si="55"/>
        <v>0.77662337662337655</v>
      </c>
      <c r="Y118" s="212">
        <f t="shared" si="43"/>
        <v>1.4918032786885247</v>
      </c>
      <c r="Z118" s="196">
        <f t="shared" si="50"/>
        <v>2.2240620746315801E-4</v>
      </c>
    </row>
    <row r="119" spans="1:26" x14ac:dyDescent="0.25">
      <c r="A119" s="198" t="s">
        <v>147</v>
      </c>
      <c r="B119" s="199" t="s">
        <v>147</v>
      </c>
      <c r="C119" s="200">
        <f>C111-SUM(C112:C118)</f>
        <v>0</v>
      </c>
      <c r="D119" s="200">
        <f>D111-SUM(D112:D118)</f>
        <v>0</v>
      </c>
      <c r="E119" s="200">
        <f>E111-SUM(E112:E118)</f>
        <v>0</v>
      </c>
      <c r="F119" s="200">
        <f>F111-SUM(F112:F118)</f>
        <v>0</v>
      </c>
      <c r="G119" s="200">
        <f>G111-SUM(G112:G118)</f>
        <v>0</v>
      </c>
      <c r="H119" s="201" t="str">
        <f t="shared" si="51"/>
        <v>-</v>
      </c>
      <c r="I119" s="213" t="str">
        <f t="shared" si="35"/>
        <v>-</v>
      </c>
      <c r="J119" s="201">
        <f t="shared" si="52"/>
        <v>0</v>
      </c>
      <c r="K119" s="200">
        <f>K111-SUM(K112:K118)</f>
        <v>0</v>
      </c>
      <c r="L119" s="200">
        <f>L111-SUM(L112:L118)</f>
        <v>0</v>
      </c>
      <c r="M119" s="200">
        <f>M111-SUM(M112:M118)</f>
        <v>0</v>
      </c>
      <c r="N119" s="200">
        <f>N111-SUM(N112:N118)</f>
        <v>0</v>
      </c>
      <c r="O119" s="200">
        <f>O111-SUM(O112:O118)</f>
        <v>0</v>
      </c>
      <c r="P119" s="201" t="str">
        <f t="shared" si="53"/>
        <v>-</v>
      </c>
      <c r="Q119" s="213" t="str">
        <f t="shared" si="42"/>
        <v>-</v>
      </c>
      <c r="R119" s="201">
        <f t="shared" si="54"/>
        <v>0</v>
      </c>
      <c r="S119" s="200">
        <f>S111-SUM(S112:S118)</f>
        <v>5801</v>
      </c>
      <c r="T119" s="200">
        <f>T111-SUM(T112:T118)</f>
        <v>11698</v>
      </c>
      <c r="U119" s="200">
        <f>U111-SUM(U112:U118)</f>
        <v>24207</v>
      </c>
      <c r="V119" s="200">
        <f>V111-SUM(V112:V118)</f>
        <v>26320</v>
      </c>
      <c r="W119" s="200">
        <f>W111-SUM(W112:W118)</f>
        <v>28586</v>
      </c>
      <c r="X119" s="201">
        <f t="shared" si="55"/>
        <v>8.6094224924012197E-2</v>
      </c>
      <c r="Y119" s="213">
        <f t="shared" si="43"/>
        <v>3.9277710739527665</v>
      </c>
      <c r="Z119" s="201">
        <f t="shared" si="50"/>
        <v>6.4092703143579354E-3</v>
      </c>
    </row>
    <row r="120" spans="1:26" x14ac:dyDescent="0.25">
      <c r="A120" s="1"/>
      <c r="B120" s="186" t="s">
        <v>53</v>
      </c>
      <c r="C120" s="184"/>
      <c r="D120" s="184"/>
      <c r="E120" s="184"/>
      <c r="F120" s="184"/>
      <c r="G120" s="184"/>
      <c r="H120" s="184"/>
      <c r="I120" s="184"/>
      <c r="J120" s="184"/>
      <c r="K120" s="184"/>
      <c r="L120" s="184"/>
      <c r="M120" s="184"/>
      <c r="N120" s="184"/>
      <c r="O120" s="184"/>
      <c r="P120" s="184"/>
      <c r="Q120" s="184"/>
      <c r="R120" s="184"/>
      <c r="S120" s="184"/>
      <c r="T120" s="184"/>
      <c r="U120" s="184"/>
      <c r="V120" s="184"/>
      <c r="W120" s="184"/>
      <c r="X120" s="184"/>
      <c r="Y120" s="184"/>
      <c r="Z120" s="184"/>
    </row>
    <row r="121" spans="1:26" x14ac:dyDescent="0.25">
      <c r="A121" s="1" t="s">
        <v>0</v>
      </c>
      <c r="B121" s="187" t="s">
        <v>70</v>
      </c>
      <c r="C121" s="209">
        <f>C122+C125</f>
        <v>48728</v>
      </c>
      <c r="D121" s="209">
        <f>D122+D125</f>
        <v>61314</v>
      </c>
      <c r="E121" s="209">
        <f>E122+E125</f>
        <v>93434</v>
      </c>
      <c r="F121" s="209">
        <f>F122+F125</f>
        <v>93472</v>
      </c>
      <c r="G121" s="209">
        <f>G122+G125</f>
        <v>99644</v>
      </c>
      <c r="H121" s="210">
        <f>IFERROR(G121/F121-1,"-")</f>
        <v>6.6030469017459792E-2</v>
      </c>
      <c r="I121" s="210">
        <f t="shared" si="35"/>
        <v>1.0449023148908223</v>
      </c>
      <c r="J121" s="210">
        <f>G121/G$9</f>
        <v>0.13131613974512724</v>
      </c>
      <c r="K121" s="209">
        <f>K122+K125</f>
        <v>54788</v>
      </c>
      <c r="L121" s="209">
        <f>L122+L125</f>
        <v>102944</v>
      </c>
      <c r="M121" s="209">
        <f>M122+M125</f>
        <v>135697</v>
      </c>
      <c r="N121" s="209">
        <f>N122+N125</f>
        <v>145637</v>
      </c>
      <c r="O121" s="209">
        <f>O122+O125</f>
        <v>151227</v>
      </c>
      <c r="P121" s="210">
        <f>IFERROR(O121/N121-1,"-")</f>
        <v>3.8383103194929769E-2</v>
      </c>
      <c r="Q121" s="210">
        <f t="shared" si="42"/>
        <v>1.7602212163247426</v>
      </c>
      <c r="R121" s="210">
        <f>O121/O$9</f>
        <v>4.2952088001976807E-2</v>
      </c>
      <c r="S121" s="209">
        <f>S122+S125</f>
        <v>103516</v>
      </c>
      <c r="T121" s="209">
        <f>T122+T125</f>
        <v>164258</v>
      </c>
      <c r="U121" s="209">
        <f>U122+U125</f>
        <v>229131</v>
      </c>
      <c r="V121" s="209">
        <f>V122+V125</f>
        <v>239109</v>
      </c>
      <c r="W121" s="209">
        <f>W122+W125</f>
        <v>250871</v>
      </c>
      <c r="X121" s="210">
        <f>IFERROR(W121/V121-1,"-")</f>
        <v>4.9190954752853289E-2</v>
      </c>
      <c r="Y121" s="210">
        <f t="shared" si="43"/>
        <v>1.4234997488310985</v>
      </c>
      <c r="Z121" s="210">
        <f t="shared" ref="Z121:Z133" si="56">U121/U$9</f>
        <v>6.066685324076293E-2</v>
      </c>
    </row>
    <row r="122" spans="1:26" x14ac:dyDescent="0.25">
      <c r="A122" s="1" t="s">
        <v>98</v>
      </c>
      <c r="B122" s="190" t="s">
        <v>99</v>
      </c>
      <c r="C122" s="191">
        <v>23736</v>
      </c>
      <c r="D122" s="191">
        <v>32824</v>
      </c>
      <c r="E122" s="191">
        <v>51574</v>
      </c>
      <c r="F122" s="191">
        <v>60712</v>
      </c>
      <c r="G122" s="191">
        <v>66829</v>
      </c>
      <c r="H122" s="192">
        <f>IFERROR(G122/F122-1,"-")</f>
        <v>0.10075438134141512</v>
      </c>
      <c r="I122" s="211">
        <f t="shared" si="35"/>
        <v>1.8155123019885404</v>
      </c>
      <c r="J122" s="192">
        <f>G122/G$9</f>
        <v>8.8070795060687129E-2</v>
      </c>
      <c r="K122" s="191">
        <v>37835</v>
      </c>
      <c r="L122" s="191">
        <v>71733</v>
      </c>
      <c r="M122" s="191">
        <v>83312</v>
      </c>
      <c r="N122" s="191">
        <v>85718</v>
      </c>
      <c r="O122" s="191">
        <v>89737</v>
      </c>
      <c r="P122" s="192">
        <f>IFERROR(O122/N122-1,"-")</f>
        <v>4.6886301593597635E-2</v>
      </c>
      <c r="Q122" s="211">
        <f t="shared" si="42"/>
        <v>1.3717985991806527</v>
      </c>
      <c r="R122" s="192">
        <f>O122/O$9</f>
        <v>2.5487456082798659E-2</v>
      </c>
      <c r="S122" s="191">
        <v>61571</v>
      </c>
      <c r="T122" s="191">
        <v>104557</v>
      </c>
      <c r="U122" s="191">
        <v>134886</v>
      </c>
      <c r="V122" s="191">
        <v>146430</v>
      </c>
      <c r="W122" s="191">
        <v>156566</v>
      </c>
      <c r="X122" s="192">
        <f>IFERROR(W122/V122-1,"-")</f>
        <v>6.9220788089872309E-2</v>
      </c>
      <c r="Y122" s="211">
        <f t="shared" si="43"/>
        <v>1.5428529664939665</v>
      </c>
      <c r="Z122" s="192">
        <f t="shared" si="56"/>
        <v>3.5713671071280394E-2</v>
      </c>
    </row>
    <row r="123" spans="1:26" x14ac:dyDescent="0.25">
      <c r="A123" s="193" t="s">
        <v>105</v>
      </c>
      <c r="B123" s="194" t="s">
        <v>105</v>
      </c>
      <c r="C123" s="195">
        <v>11647</v>
      </c>
      <c r="D123" s="195">
        <v>15693</v>
      </c>
      <c r="E123" s="195">
        <v>29334</v>
      </c>
      <c r="F123" s="195">
        <v>29429</v>
      </c>
      <c r="G123" s="195">
        <v>38467</v>
      </c>
      <c r="H123" s="196">
        <f>IFERROR(G123/F123-1,"-")</f>
        <v>0.3071120323490435</v>
      </c>
      <c r="I123" s="212">
        <f t="shared" si="35"/>
        <v>2.3027389027217309</v>
      </c>
      <c r="J123" s="196">
        <f>G123/G$9</f>
        <v>5.0693849580263836E-2</v>
      </c>
      <c r="K123" s="195">
        <v>16144</v>
      </c>
      <c r="L123" s="195">
        <v>37554</v>
      </c>
      <c r="M123" s="195">
        <v>40531</v>
      </c>
      <c r="N123" s="195">
        <v>36692</v>
      </c>
      <c r="O123" s="195">
        <v>37326</v>
      </c>
      <c r="P123" s="196">
        <f>IFERROR(O123/N123-1,"-")</f>
        <v>1.7278970892837586E-2</v>
      </c>
      <c r="Q123" s="212">
        <f t="shared" si="42"/>
        <v>1.3120664023785928</v>
      </c>
      <c r="R123" s="196">
        <f>O123/O$9</f>
        <v>1.0601477492523069E-2</v>
      </c>
      <c r="S123" s="195">
        <v>27791</v>
      </c>
      <c r="T123" s="195">
        <v>53247</v>
      </c>
      <c r="U123" s="195">
        <v>69865</v>
      </c>
      <c r="V123" s="195">
        <v>66121</v>
      </c>
      <c r="W123" s="195">
        <v>75793</v>
      </c>
      <c r="X123" s="196">
        <f>IFERROR(W123/V123-1,"-")</f>
        <v>0.14627727953297742</v>
      </c>
      <c r="Y123" s="212">
        <f t="shared" si="43"/>
        <v>1.7272498290813574</v>
      </c>
      <c r="Z123" s="196">
        <f t="shared" si="56"/>
        <v>1.8498106767158969E-2</v>
      </c>
    </row>
    <row r="124" spans="1:26" x14ac:dyDescent="0.25">
      <c r="A124" s="193" t="s">
        <v>102</v>
      </c>
      <c r="B124" s="194" t="s">
        <v>102</v>
      </c>
      <c r="C124" s="195">
        <v>12089</v>
      </c>
      <c r="D124" s="195">
        <v>17131</v>
      </c>
      <c r="E124" s="195">
        <v>22240</v>
      </c>
      <c r="F124" s="195">
        <v>31283</v>
      </c>
      <c r="G124" s="195">
        <v>28362</v>
      </c>
      <c r="H124" s="196">
        <f>IFERROR(G124/F124-1,"-")</f>
        <v>-9.337339769203723E-2</v>
      </c>
      <c r="I124" s="212">
        <f t="shared" si="35"/>
        <v>1.3460997601124989</v>
      </c>
      <c r="J124" s="196">
        <f>G124/G$9</f>
        <v>3.7376945480423293E-2</v>
      </c>
      <c r="K124" s="195">
        <v>21691</v>
      </c>
      <c r="L124" s="195">
        <v>34179</v>
      </c>
      <c r="M124" s="195">
        <v>42781</v>
      </c>
      <c r="N124" s="195">
        <v>49026</v>
      </c>
      <c r="O124" s="195">
        <v>52411</v>
      </c>
      <c r="P124" s="196">
        <f>IFERROR(O124/N124-1,"-")</f>
        <v>6.9044996532452219E-2</v>
      </c>
      <c r="Q124" s="212">
        <f t="shared" si="42"/>
        <v>1.4162555898759854</v>
      </c>
      <c r="R124" s="196">
        <f>O124/O$9</f>
        <v>1.4885978590275588E-2</v>
      </c>
      <c r="S124" s="195">
        <v>33780</v>
      </c>
      <c r="T124" s="195">
        <v>51310</v>
      </c>
      <c r="U124" s="195">
        <v>65021</v>
      </c>
      <c r="V124" s="195">
        <v>80309</v>
      </c>
      <c r="W124" s="195">
        <v>80773</v>
      </c>
      <c r="X124" s="196">
        <f>IFERROR(W124/V124-1,"-")</f>
        <v>5.7776836967213807E-3</v>
      </c>
      <c r="Y124" s="212">
        <f t="shared" si="43"/>
        <v>1.3911486086441682</v>
      </c>
      <c r="Z124" s="196">
        <f t="shared" si="56"/>
        <v>1.7215564304121425E-2</v>
      </c>
    </row>
    <row r="125" spans="1:26" x14ac:dyDescent="0.25">
      <c r="A125" s="1" t="s">
        <v>148</v>
      </c>
      <c r="B125" s="190" t="s">
        <v>109</v>
      </c>
      <c r="C125" s="191">
        <v>24992</v>
      </c>
      <c r="D125" s="191">
        <v>28490</v>
      </c>
      <c r="E125" s="191">
        <v>41860</v>
      </c>
      <c r="F125" s="191">
        <v>32760</v>
      </c>
      <c r="G125" s="191">
        <v>32815</v>
      </c>
      <c r="H125" s="192">
        <f>IFERROR(G125/F125-1,"-")</f>
        <v>1.6788766788766729E-3</v>
      </c>
      <c r="I125" s="211">
        <f t="shared" si="35"/>
        <v>0.31302016645326503</v>
      </c>
      <c r="J125" s="192">
        <f>G125/G$9</f>
        <v>4.3245344684440107E-2</v>
      </c>
      <c r="K125" s="191">
        <v>16953</v>
      </c>
      <c r="L125" s="191">
        <v>31211</v>
      </c>
      <c r="M125" s="191">
        <v>52385</v>
      </c>
      <c r="N125" s="191">
        <v>59919</v>
      </c>
      <c r="O125" s="191">
        <v>61490</v>
      </c>
      <c r="P125" s="192">
        <f>IFERROR(O125/N125-1,"-")</f>
        <v>2.6218728616966169E-2</v>
      </c>
      <c r="Q125" s="211">
        <f t="shared" si="42"/>
        <v>2.6270866513301478</v>
      </c>
      <c r="R125" s="192">
        <f>O125/O$9</f>
        <v>1.7464631919178148E-2</v>
      </c>
      <c r="S125" s="191">
        <v>41945</v>
      </c>
      <c r="T125" s="191">
        <v>59701</v>
      </c>
      <c r="U125" s="191">
        <v>94245</v>
      </c>
      <c r="V125" s="191">
        <v>92679</v>
      </c>
      <c r="W125" s="191">
        <v>94305</v>
      </c>
      <c r="X125" s="192">
        <f>IFERROR(W125/V125-1,"-")</f>
        <v>1.7544427540219454E-2</v>
      </c>
      <c r="Y125" s="211">
        <f t="shared" si="43"/>
        <v>1.2483013470020263</v>
      </c>
      <c r="Z125" s="192">
        <f t="shared" si="56"/>
        <v>2.4953182169482533E-2</v>
      </c>
    </row>
    <row r="126" spans="1:26" x14ac:dyDescent="0.25">
      <c r="A126" s="193" t="s">
        <v>112</v>
      </c>
      <c r="B126" s="194" t="s">
        <v>112</v>
      </c>
      <c r="C126" s="195">
        <v>1440</v>
      </c>
      <c r="D126" s="195">
        <v>653</v>
      </c>
      <c r="E126" s="195">
        <v>2495</v>
      </c>
      <c r="F126" s="195">
        <v>3067</v>
      </c>
      <c r="G126" s="195">
        <v>2396</v>
      </c>
      <c r="H126" s="196">
        <f t="shared" ref="H126:H133" si="57">IFERROR(G126/F126-1,"-")</f>
        <v>-0.21878056732963813</v>
      </c>
      <c r="I126" s="212">
        <f t="shared" si="35"/>
        <v>0.66388888888888897</v>
      </c>
      <c r="J126" s="196">
        <f t="shared" ref="J126:J133" si="58">G126/G$9</f>
        <v>3.1575756777058816E-3</v>
      </c>
      <c r="K126" s="195">
        <v>2501</v>
      </c>
      <c r="L126" s="195">
        <v>2683</v>
      </c>
      <c r="M126" s="195">
        <v>7422</v>
      </c>
      <c r="N126" s="195">
        <v>8579</v>
      </c>
      <c r="O126" s="195">
        <v>8260</v>
      </c>
      <c r="P126" s="196">
        <f t="shared" ref="P126:P133" si="59">IFERROR(O126/N126-1,"-")</f>
        <v>-3.7183820958153646E-2</v>
      </c>
      <c r="Q126" s="212">
        <f t="shared" si="42"/>
        <v>2.3026789284286284</v>
      </c>
      <c r="R126" s="196">
        <f t="shared" ref="R126:R133" si="60">O126/O$9</f>
        <v>2.3460377240593837E-3</v>
      </c>
      <c r="S126" s="195">
        <v>3941</v>
      </c>
      <c r="T126" s="195">
        <v>3336</v>
      </c>
      <c r="U126" s="195">
        <v>9917</v>
      </c>
      <c r="V126" s="195">
        <v>11646</v>
      </c>
      <c r="W126" s="195">
        <v>10656</v>
      </c>
      <c r="X126" s="196">
        <f t="shared" ref="X126:X133" si="61">IFERROR(W126/V126-1,"-")</f>
        <v>-8.5007727975270453E-2</v>
      </c>
      <c r="Y126" s="212">
        <f t="shared" si="43"/>
        <v>1.7038822633849278</v>
      </c>
      <c r="Z126" s="196">
        <f t="shared" si="56"/>
        <v>2.6257170945382597E-3</v>
      </c>
    </row>
    <row r="127" spans="1:26" x14ac:dyDescent="0.25">
      <c r="A127" s="193" t="s">
        <v>115</v>
      </c>
      <c r="B127" s="194" t="s">
        <v>115</v>
      </c>
      <c r="C127" s="195">
        <v>1742</v>
      </c>
      <c r="D127" s="195">
        <v>2401</v>
      </c>
      <c r="E127" s="195">
        <v>4143</v>
      </c>
      <c r="F127" s="195">
        <v>4500</v>
      </c>
      <c r="G127" s="195">
        <v>4504</v>
      </c>
      <c r="H127" s="196">
        <f t="shared" si="57"/>
        <v>8.8888888888893902E-4</v>
      </c>
      <c r="I127" s="212">
        <f t="shared" si="35"/>
        <v>1.5855338691159586</v>
      </c>
      <c r="J127" s="196">
        <f t="shared" si="58"/>
        <v>5.9356097046691534E-3</v>
      </c>
      <c r="K127" s="195">
        <v>2311</v>
      </c>
      <c r="L127" s="195">
        <v>4913</v>
      </c>
      <c r="M127" s="195">
        <v>7118</v>
      </c>
      <c r="N127" s="195">
        <v>8816</v>
      </c>
      <c r="O127" s="195">
        <v>8623</v>
      </c>
      <c r="P127" s="196">
        <f t="shared" si="59"/>
        <v>-2.1892014519056313E-2</v>
      </c>
      <c r="Q127" s="212">
        <f t="shared" si="42"/>
        <v>2.7312851579402855</v>
      </c>
      <c r="R127" s="196">
        <f t="shared" si="60"/>
        <v>2.4491384133854799E-3</v>
      </c>
      <c r="S127" s="195">
        <v>4053</v>
      </c>
      <c r="T127" s="195">
        <v>7314</v>
      </c>
      <c r="U127" s="195">
        <v>11261</v>
      </c>
      <c r="V127" s="195">
        <v>13316</v>
      </c>
      <c r="W127" s="195">
        <v>13127</v>
      </c>
      <c r="X127" s="196">
        <f t="shared" si="61"/>
        <v>-1.4193451486932962E-2</v>
      </c>
      <c r="Y127" s="212">
        <f t="shared" si="43"/>
        <v>2.2388354305452749</v>
      </c>
      <c r="Z127" s="196">
        <f t="shared" si="56"/>
        <v>2.9815670264793123E-3</v>
      </c>
    </row>
    <row r="128" spans="1:26" x14ac:dyDescent="0.25">
      <c r="A128" s="193" t="s">
        <v>118</v>
      </c>
      <c r="B128" s="194" t="s">
        <v>118</v>
      </c>
      <c r="C128" s="195">
        <v>1315</v>
      </c>
      <c r="D128" s="195">
        <v>2102</v>
      </c>
      <c r="E128" s="195">
        <v>2821</v>
      </c>
      <c r="F128" s="195">
        <v>3000</v>
      </c>
      <c r="G128" s="195">
        <v>2742</v>
      </c>
      <c r="H128" s="196">
        <f t="shared" si="57"/>
        <v>-8.5999999999999965E-2</v>
      </c>
      <c r="I128" s="212">
        <f t="shared" si="35"/>
        <v>1.0851711026615969</v>
      </c>
      <c r="J128" s="196">
        <f t="shared" si="58"/>
        <v>3.6135527997786009E-3</v>
      </c>
      <c r="K128" s="195">
        <v>1591</v>
      </c>
      <c r="L128" s="195">
        <v>5032</v>
      </c>
      <c r="M128" s="195">
        <v>5703</v>
      </c>
      <c r="N128" s="195">
        <v>5756</v>
      </c>
      <c r="O128" s="195">
        <v>5825</v>
      </c>
      <c r="P128" s="196">
        <f t="shared" si="59"/>
        <v>1.1987491313412146E-2</v>
      </c>
      <c r="Q128" s="212">
        <f t="shared" si="42"/>
        <v>2.6612193588937774</v>
      </c>
      <c r="R128" s="196">
        <f t="shared" si="60"/>
        <v>1.6544394361556792E-3</v>
      </c>
      <c r="S128" s="195">
        <v>2906</v>
      </c>
      <c r="T128" s="195">
        <v>7134</v>
      </c>
      <c r="U128" s="195">
        <v>8524</v>
      </c>
      <c r="V128" s="195">
        <v>8756</v>
      </c>
      <c r="W128" s="195">
        <v>8567</v>
      </c>
      <c r="X128" s="196">
        <f t="shared" si="61"/>
        <v>-2.1585198720877163E-2</v>
      </c>
      <c r="Y128" s="212">
        <f t="shared" si="43"/>
        <v>1.9480385409497591</v>
      </c>
      <c r="Z128" s="196">
        <f t="shared" si="56"/>
        <v>2.2568934671618559E-3</v>
      </c>
    </row>
    <row r="129" spans="1:26" x14ac:dyDescent="0.25">
      <c r="A129" s="193" t="s">
        <v>125</v>
      </c>
      <c r="B129" s="194" t="s">
        <v>125</v>
      </c>
      <c r="C129" s="195">
        <v>369</v>
      </c>
      <c r="D129" s="195">
        <v>359</v>
      </c>
      <c r="E129" s="195">
        <v>801</v>
      </c>
      <c r="F129" s="195">
        <v>649</v>
      </c>
      <c r="G129" s="195">
        <v>650</v>
      </c>
      <c r="H129" s="196">
        <f t="shared" si="57"/>
        <v>1.5408320493066618E-3</v>
      </c>
      <c r="I129" s="212">
        <f t="shared" si="35"/>
        <v>0.7615176151761518</v>
      </c>
      <c r="J129" s="196">
        <f t="shared" si="58"/>
        <v>8.5660442007880764E-4</v>
      </c>
      <c r="K129" s="195">
        <v>415</v>
      </c>
      <c r="L129" s="195">
        <v>974</v>
      </c>
      <c r="M129" s="195">
        <v>1772</v>
      </c>
      <c r="N129" s="195">
        <v>1988</v>
      </c>
      <c r="O129" s="195">
        <v>1706</v>
      </c>
      <c r="P129" s="196">
        <f t="shared" si="59"/>
        <v>-0.14185110663983902</v>
      </c>
      <c r="Q129" s="212">
        <f t="shared" si="42"/>
        <v>3.1108433734939762</v>
      </c>
      <c r="R129" s="196">
        <f t="shared" si="60"/>
        <v>4.8454483743889937E-4</v>
      </c>
      <c r="S129" s="195">
        <v>784</v>
      </c>
      <c r="T129" s="195">
        <v>1333</v>
      </c>
      <c r="U129" s="195">
        <v>2573</v>
      </c>
      <c r="V129" s="195">
        <v>2637</v>
      </c>
      <c r="W129" s="195">
        <v>2356</v>
      </c>
      <c r="X129" s="196">
        <f t="shared" si="61"/>
        <v>-0.10656048540007579</v>
      </c>
      <c r="Y129" s="212">
        <f t="shared" si="43"/>
        <v>2.0051020408163267</v>
      </c>
      <c r="Z129" s="196">
        <f t="shared" si="56"/>
        <v>6.812513950032209E-4</v>
      </c>
    </row>
    <row r="130" spans="1:26" x14ac:dyDescent="0.25">
      <c r="A130" s="193" t="s">
        <v>121</v>
      </c>
      <c r="B130" s="194" t="s">
        <v>121</v>
      </c>
      <c r="C130" s="195">
        <v>323</v>
      </c>
      <c r="D130" s="195">
        <v>312</v>
      </c>
      <c r="E130" s="195">
        <v>635</v>
      </c>
      <c r="F130" s="195">
        <v>526</v>
      </c>
      <c r="G130" s="195">
        <v>594</v>
      </c>
      <c r="H130" s="196">
        <f t="shared" si="57"/>
        <v>0.12927756653992395</v>
      </c>
      <c r="I130" s="212">
        <f t="shared" si="35"/>
        <v>0.83900928792569651</v>
      </c>
      <c r="J130" s="196">
        <f t="shared" si="58"/>
        <v>7.8280465465663338E-4</v>
      </c>
      <c r="K130" s="195">
        <v>489</v>
      </c>
      <c r="L130" s="195">
        <v>1045</v>
      </c>
      <c r="M130" s="195">
        <v>1201</v>
      </c>
      <c r="N130" s="195">
        <v>1408</v>
      </c>
      <c r="O130" s="195">
        <v>1497</v>
      </c>
      <c r="P130" s="196">
        <f t="shared" si="59"/>
        <v>6.3210227272727293E-2</v>
      </c>
      <c r="Q130" s="212">
        <f t="shared" si="42"/>
        <v>2.0613496932515338</v>
      </c>
      <c r="R130" s="196">
        <f t="shared" si="60"/>
        <v>4.2518383449357113E-4</v>
      </c>
      <c r="S130" s="195">
        <v>812</v>
      </c>
      <c r="T130" s="195">
        <v>1357</v>
      </c>
      <c r="U130" s="195">
        <v>1836</v>
      </c>
      <c r="V130" s="195">
        <v>1934</v>
      </c>
      <c r="W130" s="195">
        <v>2091</v>
      </c>
      <c r="X130" s="196">
        <f t="shared" si="61"/>
        <v>8.1178903826266913E-2</v>
      </c>
      <c r="Y130" s="212">
        <f t="shared" si="43"/>
        <v>1.5751231527093594</v>
      </c>
      <c r="Z130" s="196">
        <f t="shared" si="56"/>
        <v>4.8611642488375966E-4</v>
      </c>
    </row>
    <row r="131" spans="1:26" x14ac:dyDescent="0.25">
      <c r="A131" s="193" t="s">
        <v>130</v>
      </c>
      <c r="B131" s="194" t="s">
        <v>130</v>
      </c>
      <c r="C131" s="195">
        <v>186</v>
      </c>
      <c r="D131" s="195">
        <v>123</v>
      </c>
      <c r="E131" s="195">
        <v>250</v>
      </c>
      <c r="F131" s="195">
        <v>203</v>
      </c>
      <c r="G131" s="195">
        <v>235</v>
      </c>
      <c r="H131" s="196">
        <f t="shared" si="57"/>
        <v>0.1576354679802956</v>
      </c>
      <c r="I131" s="212">
        <f t="shared" si="35"/>
        <v>0.26344086021505375</v>
      </c>
      <c r="J131" s="196">
        <f t="shared" si="58"/>
        <v>3.0969544418233812E-4</v>
      </c>
      <c r="K131" s="195">
        <v>492</v>
      </c>
      <c r="L131" s="195">
        <v>432</v>
      </c>
      <c r="M131" s="195">
        <v>825</v>
      </c>
      <c r="N131" s="195">
        <v>1138</v>
      </c>
      <c r="O131" s="195">
        <v>1099</v>
      </c>
      <c r="P131" s="196">
        <f t="shared" si="59"/>
        <v>-3.4270650263620417E-2</v>
      </c>
      <c r="Q131" s="212">
        <f t="shared" si="42"/>
        <v>1.2337398373983741</v>
      </c>
      <c r="R131" s="196">
        <f t="shared" si="60"/>
        <v>3.1214230735366374E-4</v>
      </c>
      <c r="S131" s="195">
        <v>678</v>
      </c>
      <c r="T131" s="195">
        <v>555</v>
      </c>
      <c r="U131" s="195">
        <v>1075</v>
      </c>
      <c r="V131" s="195">
        <v>1341</v>
      </c>
      <c r="W131" s="195">
        <v>1334</v>
      </c>
      <c r="X131" s="196">
        <f t="shared" si="61"/>
        <v>-5.2199850857569396E-3</v>
      </c>
      <c r="Y131" s="212">
        <f t="shared" si="43"/>
        <v>0.96755162241887915</v>
      </c>
      <c r="Z131" s="196">
        <f t="shared" si="56"/>
        <v>2.8462699169392246E-4</v>
      </c>
    </row>
    <row r="132" spans="1:26" x14ac:dyDescent="0.25">
      <c r="A132" s="193" t="s">
        <v>133</v>
      </c>
      <c r="B132" s="194" t="s">
        <v>133</v>
      </c>
      <c r="C132" s="195">
        <v>210</v>
      </c>
      <c r="D132" s="195">
        <v>177</v>
      </c>
      <c r="E132" s="195">
        <v>253</v>
      </c>
      <c r="F132" s="195">
        <v>358</v>
      </c>
      <c r="G132" s="195">
        <v>378</v>
      </c>
      <c r="H132" s="196">
        <f t="shared" si="57"/>
        <v>5.5865921787709549E-2</v>
      </c>
      <c r="I132" s="212">
        <f t="shared" si="35"/>
        <v>0.8</v>
      </c>
      <c r="J132" s="196">
        <f t="shared" si="58"/>
        <v>4.9814841659967578E-4</v>
      </c>
      <c r="K132" s="195">
        <v>887</v>
      </c>
      <c r="L132" s="195">
        <v>742</v>
      </c>
      <c r="M132" s="195">
        <v>1632</v>
      </c>
      <c r="N132" s="195">
        <v>2097</v>
      </c>
      <c r="O132" s="195">
        <v>2115</v>
      </c>
      <c r="P132" s="196">
        <f t="shared" si="59"/>
        <v>8.5836909871244149E-3</v>
      </c>
      <c r="Q132" s="212">
        <f t="shared" si="42"/>
        <v>1.3844419391206313</v>
      </c>
      <c r="R132" s="196">
        <f t="shared" si="60"/>
        <v>6.0071062789171872E-4</v>
      </c>
      <c r="S132" s="195">
        <v>1097</v>
      </c>
      <c r="T132" s="195">
        <v>919</v>
      </c>
      <c r="U132" s="195">
        <v>1885</v>
      </c>
      <c r="V132" s="195">
        <v>2455</v>
      </c>
      <c r="W132" s="195">
        <v>2493</v>
      </c>
      <c r="X132" s="196">
        <f t="shared" si="61"/>
        <v>1.5478615071283119E-2</v>
      </c>
      <c r="Y132" s="212">
        <f t="shared" si="43"/>
        <v>1.2725615314494076</v>
      </c>
      <c r="Z132" s="196">
        <f t="shared" si="56"/>
        <v>4.9909012031911057E-4</v>
      </c>
    </row>
    <row r="133" spans="1:26" x14ac:dyDescent="0.25">
      <c r="A133" s="198" t="s">
        <v>147</v>
      </c>
      <c r="B133" s="199" t="s">
        <v>147</v>
      </c>
      <c r="C133" s="200">
        <f>C125-SUM(C126:C132)</f>
        <v>19407</v>
      </c>
      <c r="D133" s="200">
        <f>D125-SUM(D126:D132)</f>
        <v>22363</v>
      </c>
      <c r="E133" s="200">
        <f>E125-SUM(E126:E132)</f>
        <v>30462</v>
      </c>
      <c r="F133" s="200">
        <f>F125-SUM(F126:F132)</f>
        <v>20457</v>
      </c>
      <c r="G133" s="200">
        <f>G125-SUM(G126:G132)</f>
        <v>21316</v>
      </c>
      <c r="H133" s="201">
        <f t="shared" si="57"/>
        <v>4.199051669355236E-2</v>
      </c>
      <c r="I133" s="213">
        <f t="shared" si="35"/>
        <v>9.8366568763848194E-2</v>
      </c>
      <c r="J133" s="201">
        <f t="shared" si="58"/>
        <v>2.809135356676902E-2</v>
      </c>
      <c r="K133" s="200">
        <f>K125-SUM(K126:K132)</f>
        <v>8267</v>
      </c>
      <c r="L133" s="200">
        <f>L125-SUM(L126:L132)</f>
        <v>15390</v>
      </c>
      <c r="M133" s="200">
        <f>M125-SUM(M126:M132)</f>
        <v>26712</v>
      </c>
      <c r="N133" s="200">
        <f>N125-SUM(N126:N132)</f>
        <v>30137</v>
      </c>
      <c r="O133" s="200">
        <f>O125-SUM(O126:O132)</f>
        <v>32365</v>
      </c>
      <c r="P133" s="201">
        <f t="shared" si="59"/>
        <v>7.3929057304974011E-2</v>
      </c>
      <c r="Q133" s="213">
        <f t="shared" si="42"/>
        <v>2.9149631063263577</v>
      </c>
      <c r="R133" s="201">
        <f t="shared" si="60"/>
        <v>9.1924347383997521E-3</v>
      </c>
      <c r="S133" s="200">
        <f>S125-SUM(S126:S132)</f>
        <v>27674</v>
      </c>
      <c r="T133" s="200">
        <f>T125-SUM(T126:T132)</f>
        <v>37753</v>
      </c>
      <c r="U133" s="200">
        <f>U125-SUM(U126:U132)</f>
        <v>57174</v>
      </c>
      <c r="V133" s="200">
        <f>V125-SUM(V126:V132)</f>
        <v>50594</v>
      </c>
      <c r="W133" s="200">
        <f>W125-SUM(W126:W132)</f>
        <v>53681</v>
      </c>
      <c r="X133" s="201">
        <f t="shared" si="61"/>
        <v>6.1015140135193935E-2</v>
      </c>
      <c r="Y133" s="213">
        <f t="shared" si="43"/>
        <v>0.93976295439762958</v>
      </c>
      <c r="Z133" s="201">
        <f t="shared" si="56"/>
        <v>1.513791964940309E-2</v>
      </c>
    </row>
    <row r="134" spans="1:26" x14ac:dyDescent="0.25">
      <c r="A134" s="1"/>
      <c r="B134" s="186" t="s">
        <v>54</v>
      </c>
      <c r="C134" s="184"/>
      <c r="D134" s="184"/>
      <c r="E134" s="184"/>
      <c r="F134" s="184"/>
      <c r="G134" s="184"/>
      <c r="H134" s="184"/>
      <c r="I134" s="184"/>
      <c r="J134" s="184"/>
      <c r="K134" s="184"/>
      <c r="L134" s="184"/>
      <c r="M134" s="184"/>
      <c r="N134" s="184"/>
      <c r="O134" s="184"/>
      <c r="P134" s="184"/>
      <c r="Q134" s="184"/>
      <c r="R134" s="184"/>
      <c r="S134" s="184"/>
      <c r="T134" s="184"/>
      <c r="U134" s="184"/>
      <c r="V134" s="184"/>
      <c r="W134" s="184"/>
      <c r="X134" s="184"/>
      <c r="Y134" s="184"/>
      <c r="Z134" s="184"/>
    </row>
    <row r="135" spans="1:26" x14ac:dyDescent="0.25">
      <c r="A135" s="1" t="s">
        <v>0</v>
      </c>
      <c r="B135" s="187" t="s">
        <v>70</v>
      </c>
      <c r="C135" s="209">
        <f>C136+C139</f>
        <v>0</v>
      </c>
      <c r="D135" s="209">
        <f>D136+D139</f>
        <v>29237</v>
      </c>
      <c r="E135" s="209">
        <f>E136+E139</f>
        <v>47385</v>
      </c>
      <c r="F135" s="209">
        <f>F136+F139</f>
        <v>49008</v>
      </c>
      <c r="G135" s="209">
        <f>G136+G139</f>
        <v>52595</v>
      </c>
      <c r="H135" s="210">
        <f>IFERROR(G135/F135-1,"-")</f>
        <v>7.3192131896833157E-2</v>
      </c>
      <c r="I135" s="210" t="str">
        <f t="shared" si="35"/>
        <v>-</v>
      </c>
      <c r="J135" s="210">
        <f>G135/G$9</f>
        <v>6.9312476113915208E-2</v>
      </c>
      <c r="K135" s="209">
        <f>K136+K139</f>
        <v>0</v>
      </c>
      <c r="L135" s="209">
        <f>L136+L139</f>
        <v>87353</v>
      </c>
      <c r="M135" s="209">
        <f>M136+M139</f>
        <v>163913</v>
      </c>
      <c r="N135" s="209">
        <f>N136+N139</f>
        <v>180038</v>
      </c>
      <c r="O135" s="209">
        <f>O136+O139</f>
        <v>183335</v>
      </c>
      <c r="P135" s="210">
        <f>IFERROR(O135/N135-1,"-")</f>
        <v>1.8312800630977843E-2</v>
      </c>
      <c r="Q135" s="210" t="str">
        <f t="shared" si="42"/>
        <v>-</v>
      </c>
      <c r="R135" s="210">
        <f>O135/O$9</f>
        <v>5.2071528588429436E-2</v>
      </c>
      <c r="S135" s="209">
        <f>S136+S139</f>
        <v>77095</v>
      </c>
      <c r="T135" s="209">
        <f>T136+T139</f>
        <v>116590</v>
      </c>
      <c r="U135" s="209">
        <f>U136+U139</f>
        <v>211298</v>
      </c>
      <c r="V135" s="209">
        <f>V136+V139</f>
        <v>229046</v>
      </c>
      <c r="W135" s="209">
        <f>W136+W139</f>
        <v>235930</v>
      </c>
      <c r="X135" s="210">
        <f>IFERROR(W135/V135-1,"-")</f>
        <v>3.0055098102564459E-2</v>
      </c>
      <c r="Y135" s="210">
        <f t="shared" si="43"/>
        <v>2.0602503404890071</v>
      </c>
      <c r="Z135" s="210">
        <f t="shared" ref="Z135:Z147" si="62">U135/U$9</f>
        <v>5.5945222410179005E-2</v>
      </c>
    </row>
    <row r="136" spans="1:26" x14ac:dyDescent="0.25">
      <c r="A136" s="1" t="s">
        <v>98</v>
      </c>
      <c r="B136" s="190" t="s">
        <v>99</v>
      </c>
      <c r="C136" s="191">
        <v>0</v>
      </c>
      <c r="D136" s="191">
        <v>9339</v>
      </c>
      <c r="E136" s="191">
        <v>5486</v>
      </c>
      <c r="F136" s="191">
        <v>7999</v>
      </c>
      <c r="G136" s="191">
        <v>6701</v>
      </c>
      <c r="H136" s="192">
        <f>IFERROR(G136/F136-1,"-")</f>
        <v>-0.16227028378547315</v>
      </c>
      <c r="I136" s="211" t="str">
        <f t="shared" si="35"/>
        <v>-</v>
      </c>
      <c r="J136" s="192">
        <f>G136/G$9</f>
        <v>8.8309326445355236E-3</v>
      </c>
      <c r="K136" s="191">
        <v>0</v>
      </c>
      <c r="L136" s="191">
        <v>28431</v>
      </c>
      <c r="M136" s="191">
        <v>15843</v>
      </c>
      <c r="N136" s="191">
        <v>15164</v>
      </c>
      <c r="O136" s="191">
        <v>14762</v>
      </c>
      <c r="P136" s="192">
        <f>IFERROR(O136/N136-1,"-")</f>
        <v>-2.6510155631759402E-2</v>
      </c>
      <c r="Q136" s="211" t="str">
        <f t="shared" si="42"/>
        <v>-</v>
      </c>
      <c r="R136" s="192">
        <f>O136/O$9</f>
        <v>4.1927613659279205E-3</v>
      </c>
      <c r="S136" s="191">
        <v>22432</v>
      </c>
      <c r="T136" s="191">
        <v>37770</v>
      </c>
      <c r="U136" s="191">
        <v>21329</v>
      </c>
      <c r="V136" s="191">
        <v>23163</v>
      </c>
      <c r="W136" s="191">
        <v>21463</v>
      </c>
      <c r="X136" s="192">
        <f>IFERROR(W136/V136-1,"-")</f>
        <v>-7.3392911108232983E-2</v>
      </c>
      <c r="Y136" s="211">
        <f t="shared" si="43"/>
        <v>-4.3197218259629078E-2</v>
      </c>
      <c r="Z136" s="192">
        <f t="shared" si="62"/>
        <v>5.6472642845020208E-3</v>
      </c>
    </row>
    <row r="137" spans="1:26" x14ac:dyDescent="0.25">
      <c r="A137" s="193" t="s">
        <v>105</v>
      </c>
      <c r="B137" s="194" t="s">
        <v>105</v>
      </c>
      <c r="C137" s="195">
        <v>0</v>
      </c>
      <c r="D137" s="195">
        <v>9339</v>
      </c>
      <c r="E137" s="195">
        <v>5415</v>
      </c>
      <c r="F137" s="195">
        <v>7999</v>
      </c>
      <c r="G137" s="195">
        <v>6701</v>
      </c>
      <c r="H137" s="196">
        <f>IFERROR(G137/F137-1,"-")</f>
        <v>-0.16227028378547315</v>
      </c>
      <c r="I137" s="212" t="str">
        <f t="shared" si="35"/>
        <v>-</v>
      </c>
      <c r="J137" s="196">
        <f>G137/G$9</f>
        <v>8.8309326445355236E-3</v>
      </c>
      <c r="K137" s="195">
        <v>0</v>
      </c>
      <c r="L137" s="195">
        <v>20185</v>
      </c>
      <c r="M137" s="195">
        <v>9264</v>
      </c>
      <c r="N137" s="195">
        <v>6639</v>
      </c>
      <c r="O137" s="195">
        <v>6321</v>
      </c>
      <c r="P137" s="196">
        <f>IFERROR(O137/N137-1,"-")</f>
        <v>-4.7898779936737412E-2</v>
      </c>
      <c r="Q137" s="212" t="str">
        <f t="shared" si="42"/>
        <v>-</v>
      </c>
      <c r="R137" s="196">
        <f>O137/O$9</f>
        <v>1.7953153091742572E-3</v>
      </c>
      <c r="S137" s="195">
        <v>16366</v>
      </c>
      <c r="T137" s="195">
        <v>29524</v>
      </c>
      <c r="U137" s="195">
        <v>14679</v>
      </c>
      <c r="V137" s="195">
        <v>14638</v>
      </c>
      <c r="W137" s="195">
        <v>13022</v>
      </c>
      <c r="X137" s="196">
        <f>IFERROR(W137/V137-1,"-")</f>
        <v>-0.11039759529990434</v>
      </c>
      <c r="Y137" s="212">
        <f t="shared" si="43"/>
        <v>-0.20432604179396308</v>
      </c>
      <c r="Z137" s="196">
        <f t="shared" si="62"/>
        <v>3.8865484754186863E-3</v>
      </c>
    </row>
    <row r="138" spans="1:26" x14ac:dyDescent="0.25">
      <c r="A138" s="193" t="s">
        <v>102</v>
      </c>
      <c r="B138" s="194" t="s">
        <v>102</v>
      </c>
      <c r="C138" s="195">
        <v>0</v>
      </c>
      <c r="D138" s="195">
        <v>0</v>
      </c>
      <c r="E138" s="195">
        <v>71</v>
      </c>
      <c r="F138" s="195">
        <v>0</v>
      </c>
      <c r="G138" s="195">
        <v>0</v>
      </c>
      <c r="H138" s="196" t="str">
        <f>IFERROR(G138/F138-1,"-")</f>
        <v>-</v>
      </c>
      <c r="I138" s="212" t="str">
        <f t="shared" ref="I138:I161" si="63">IFERROR(G138/C138-1,"-")</f>
        <v>-</v>
      </c>
      <c r="J138" s="196">
        <f>G138/G$9</f>
        <v>0</v>
      </c>
      <c r="K138" s="195">
        <v>0</v>
      </c>
      <c r="L138" s="195">
        <v>8246</v>
      </c>
      <c r="M138" s="195">
        <v>6579</v>
      </c>
      <c r="N138" s="195">
        <v>8525</v>
      </c>
      <c r="O138" s="195">
        <v>8441</v>
      </c>
      <c r="P138" s="196">
        <f>IFERROR(O138/N138-1,"-")</f>
        <v>-9.8533724340176265E-3</v>
      </c>
      <c r="Q138" s="212" t="str">
        <f t="shared" si="42"/>
        <v>-</v>
      </c>
      <c r="R138" s="196">
        <f>O138/O$9</f>
        <v>2.3974460567536631E-3</v>
      </c>
      <c r="S138" s="195">
        <v>6066</v>
      </c>
      <c r="T138" s="195">
        <v>8246</v>
      </c>
      <c r="U138" s="195">
        <v>6650</v>
      </c>
      <c r="V138" s="195">
        <v>8525</v>
      </c>
      <c r="W138" s="195">
        <v>8441</v>
      </c>
      <c r="X138" s="196">
        <f>IFERROR(W138/V138-1,"-")</f>
        <v>-9.8533724340176265E-3</v>
      </c>
      <c r="Y138" s="212">
        <f t="shared" si="43"/>
        <v>0.39152654137817344</v>
      </c>
      <c r="Z138" s="196">
        <f t="shared" si="62"/>
        <v>1.7607158090833343E-3</v>
      </c>
    </row>
    <row r="139" spans="1:26" x14ac:dyDescent="0.25">
      <c r="A139" s="1" t="s">
        <v>148</v>
      </c>
      <c r="B139" s="190" t="s">
        <v>109</v>
      </c>
      <c r="C139" s="191">
        <v>0</v>
      </c>
      <c r="D139" s="191">
        <v>19898</v>
      </c>
      <c r="E139" s="191">
        <v>41899</v>
      </c>
      <c r="F139" s="191">
        <v>41009</v>
      </c>
      <c r="G139" s="191">
        <v>45894</v>
      </c>
      <c r="H139" s="192">
        <f>IFERROR(G139/F139-1,"-")</f>
        <v>0.11912019312833766</v>
      </c>
      <c r="I139" s="211" t="str">
        <f t="shared" si="63"/>
        <v>-</v>
      </c>
      <c r="J139" s="192">
        <f>G139/G$9</f>
        <v>6.0481543469379687E-2</v>
      </c>
      <c r="K139" s="191">
        <v>0</v>
      </c>
      <c r="L139" s="191">
        <v>58922</v>
      </c>
      <c r="M139" s="191">
        <v>148070</v>
      </c>
      <c r="N139" s="191">
        <v>164874</v>
      </c>
      <c r="O139" s="191">
        <v>168573</v>
      </c>
      <c r="P139" s="192">
        <f>IFERROR(O139/N139-1,"-")</f>
        <v>2.2435314239965143E-2</v>
      </c>
      <c r="Q139" s="211" t="str">
        <f t="shared" si="42"/>
        <v>-</v>
      </c>
      <c r="R139" s="192">
        <f>O139/O$9</f>
        <v>4.7878767222501513E-2</v>
      </c>
      <c r="S139" s="191">
        <v>54663</v>
      </c>
      <c r="T139" s="191">
        <v>78820</v>
      </c>
      <c r="U139" s="191">
        <v>189969</v>
      </c>
      <c r="V139" s="191">
        <v>205883</v>
      </c>
      <c r="W139" s="191">
        <v>214467</v>
      </c>
      <c r="X139" s="192">
        <f>IFERROR(W139/V139-1,"-")</f>
        <v>4.1693583248738397E-2</v>
      </c>
      <c r="Y139" s="211">
        <f t="shared" si="43"/>
        <v>2.9234399868283849</v>
      </c>
      <c r="Z139" s="192">
        <f t="shared" si="62"/>
        <v>5.0297958125676979E-2</v>
      </c>
    </row>
    <row r="140" spans="1:26" x14ac:dyDescent="0.25">
      <c r="A140" s="193" t="s">
        <v>112</v>
      </c>
      <c r="B140" s="194" t="s">
        <v>112</v>
      </c>
      <c r="C140" s="195">
        <v>0</v>
      </c>
      <c r="D140" s="195">
        <v>8616</v>
      </c>
      <c r="E140" s="195">
        <v>22074</v>
      </c>
      <c r="F140" s="195">
        <v>20929</v>
      </c>
      <c r="G140" s="195">
        <v>26456</v>
      </c>
      <c r="H140" s="196">
        <f t="shared" ref="H140:H147" si="64">IFERROR(G140/F140-1,"-")</f>
        <v>0.26408332935161738</v>
      </c>
      <c r="I140" s="212" t="str">
        <f t="shared" si="63"/>
        <v>-</v>
      </c>
      <c r="J140" s="196">
        <f t="shared" ref="J140:J147" si="65">G140/G$9</f>
        <v>3.4865117750161434E-2</v>
      </c>
      <c r="K140" s="195">
        <v>0</v>
      </c>
      <c r="L140" s="195">
        <v>13586</v>
      </c>
      <c r="M140" s="195">
        <v>60071</v>
      </c>
      <c r="N140" s="195">
        <v>68669</v>
      </c>
      <c r="O140" s="195">
        <v>70810</v>
      </c>
      <c r="P140" s="196">
        <f t="shared" ref="P140:P147" si="66">IFERROR(O140/N140-1,"-")</f>
        <v>3.1178552185120001E-2</v>
      </c>
      <c r="Q140" s="212" t="str">
        <f t="shared" si="42"/>
        <v>-</v>
      </c>
      <c r="R140" s="196">
        <f t="shared" ref="R140:R147" si="67">O140/O$9</f>
        <v>2.0111735017027236E-2</v>
      </c>
      <c r="S140" s="195">
        <v>18862</v>
      </c>
      <c r="T140" s="195">
        <v>22202</v>
      </c>
      <c r="U140" s="195">
        <v>82145</v>
      </c>
      <c r="V140" s="195">
        <v>89598</v>
      </c>
      <c r="W140" s="195">
        <v>97266</v>
      </c>
      <c r="X140" s="196">
        <f t="shared" ref="X140:X147" si="68">IFERROR(W140/V140-1,"-")</f>
        <v>8.5582267461327355E-2</v>
      </c>
      <c r="Y140" s="212">
        <f t="shared" si="43"/>
        <v>4.1567172092036904</v>
      </c>
      <c r="Z140" s="196">
        <f t="shared" si="62"/>
        <v>2.1749473704834661E-2</v>
      </c>
    </row>
    <row r="141" spans="1:26" x14ac:dyDescent="0.25">
      <c r="A141" s="193" t="s">
        <v>115</v>
      </c>
      <c r="B141" s="194" t="s">
        <v>115</v>
      </c>
      <c r="C141" s="195">
        <v>0</v>
      </c>
      <c r="D141" s="195">
        <v>1411</v>
      </c>
      <c r="E141" s="195">
        <v>1553</v>
      </c>
      <c r="F141" s="195">
        <v>1880</v>
      </c>
      <c r="G141" s="195">
        <v>1664</v>
      </c>
      <c r="H141" s="196">
        <f t="shared" si="64"/>
        <v>-0.11489361702127665</v>
      </c>
      <c r="I141" s="212" t="str">
        <f t="shared" si="63"/>
        <v>-</v>
      </c>
      <c r="J141" s="196">
        <f t="shared" si="65"/>
        <v>2.1929073154017473E-3</v>
      </c>
      <c r="K141" s="195">
        <v>0</v>
      </c>
      <c r="L141" s="195">
        <v>6291</v>
      </c>
      <c r="M141" s="195">
        <v>11965</v>
      </c>
      <c r="N141" s="195">
        <v>16181</v>
      </c>
      <c r="O141" s="195">
        <v>16944</v>
      </c>
      <c r="P141" s="196">
        <f t="shared" si="66"/>
        <v>4.7154069587788117E-2</v>
      </c>
      <c r="Q141" s="212" t="str">
        <f t="shared" si="42"/>
        <v>-</v>
      </c>
      <c r="R141" s="196">
        <f t="shared" si="67"/>
        <v>4.8125015976346486E-3</v>
      </c>
      <c r="S141" s="195">
        <v>5188</v>
      </c>
      <c r="T141" s="195">
        <v>7702</v>
      </c>
      <c r="U141" s="195">
        <v>13518</v>
      </c>
      <c r="V141" s="195">
        <v>18061</v>
      </c>
      <c r="W141" s="195">
        <v>18608</v>
      </c>
      <c r="X141" s="196">
        <f t="shared" si="68"/>
        <v>3.0286252145506953E-2</v>
      </c>
      <c r="Y141" s="212">
        <f t="shared" si="43"/>
        <v>2.5867386276021587</v>
      </c>
      <c r="Z141" s="196">
        <f t="shared" si="62"/>
        <v>3.5791513243892499E-3</v>
      </c>
    </row>
    <row r="142" spans="1:26" x14ac:dyDescent="0.25">
      <c r="A142" s="193" t="s">
        <v>118</v>
      </c>
      <c r="B142" s="194" t="s">
        <v>118</v>
      </c>
      <c r="C142" s="195">
        <v>0</v>
      </c>
      <c r="D142" s="195">
        <v>2188</v>
      </c>
      <c r="E142" s="195">
        <v>5813</v>
      </c>
      <c r="F142" s="195">
        <v>5043</v>
      </c>
      <c r="G142" s="195">
        <v>5027</v>
      </c>
      <c r="H142" s="196">
        <f t="shared" si="64"/>
        <v>-3.1727146539758388E-3</v>
      </c>
      <c r="I142" s="212" t="str">
        <f t="shared" si="63"/>
        <v>-</v>
      </c>
      <c r="J142" s="196">
        <f t="shared" si="65"/>
        <v>6.6248467995941012E-3</v>
      </c>
      <c r="K142" s="195">
        <v>0</v>
      </c>
      <c r="L142" s="195">
        <v>10850</v>
      </c>
      <c r="M142" s="195">
        <v>17158</v>
      </c>
      <c r="N142" s="195">
        <v>15976</v>
      </c>
      <c r="O142" s="195">
        <v>15484</v>
      </c>
      <c r="P142" s="196">
        <f t="shared" si="66"/>
        <v>-3.0796194291437207E-2</v>
      </c>
      <c r="Q142" s="212" t="str">
        <f t="shared" si="42"/>
        <v>-</v>
      </c>
      <c r="R142" s="196">
        <f t="shared" si="67"/>
        <v>4.3978266488299634E-3</v>
      </c>
      <c r="S142" s="195">
        <v>5864</v>
      </c>
      <c r="T142" s="195">
        <v>13038</v>
      </c>
      <c r="U142" s="195">
        <v>22971</v>
      </c>
      <c r="V142" s="195">
        <v>21019</v>
      </c>
      <c r="W142" s="195">
        <v>20511</v>
      </c>
      <c r="X142" s="196">
        <f t="shared" si="68"/>
        <v>-2.4168609353442116E-2</v>
      </c>
      <c r="Y142" s="212">
        <f t="shared" si="43"/>
        <v>2.4977830832196455</v>
      </c>
      <c r="Z142" s="196">
        <f t="shared" si="62"/>
        <v>6.0820154662335748E-3</v>
      </c>
    </row>
    <row r="143" spans="1:26" x14ac:dyDescent="0.25">
      <c r="A143" s="193" t="s">
        <v>125</v>
      </c>
      <c r="B143" s="194" t="s">
        <v>125</v>
      </c>
      <c r="C143" s="195">
        <v>0</v>
      </c>
      <c r="D143" s="195">
        <v>2549</v>
      </c>
      <c r="E143" s="195">
        <v>4370</v>
      </c>
      <c r="F143" s="195">
        <v>3569</v>
      </c>
      <c r="G143" s="195">
        <v>2063</v>
      </c>
      <c r="H143" s="196">
        <f t="shared" si="64"/>
        <v>-0.42196693751751191</v>
      </c>
      <c r="I143" s="212" t="str">
        <f t="shared" si="63"/>
        <v>-</v>
      </c>
      <c r="J143" s="196">
        <f t="shared" si="65"/>
        <v>2.7187306440347387E-3</v>
      </c>
      <c r="K143" s="195">
        <v>0</v>
      </c>
      <c r="L143" s="195">
        <v>1210</v>
      </c>
      <c r="M143" s="195">
        <v>3896</v>
      </c>
      <c r="N143" s="195">
        <v>3738</v>
      </c>
      <c r="O143" s="195">
        <v>3046</v>
      </c>
      <c r="P143" s="196">
        <f t="shared" si="66"/>
        <v>-0.18512573568753343</v>
      </c>
      <c r="Q143" s="212" t="str">
        <f t="shared" si="42"/>
        <v>-</v>
      </c>
      <c r="R143" s="196">
        <f t="shared" si="67"/>
        <v>8.6513691373908989E-4</v>
      </c>
      <c r="S143" s="195">
        <v>782</v>
      </c>
      <c r="T143" s="195">
        <v>3759</v>
      </c>
      <c r="U143" s="195">
        <v>8266</v>
      </c>
      <c r="V143" s="195">
        <v>7307</v>
      </c>
      <c r="W143" s="195">
        <v>5109</v>
      </c>
      <c r="X143" s="196">
        <f t="shared" si="68"/>
        <v>-0.30080744491583411</v>
      </c>
      <c r="Y143" s="212">
        <f t="shared" si="43"/>
        <v>5.5332480818414318</v>
      </c>
      <c r="Z143" s="196">
        <f t="shared" si="62"/>
        <v>2.1885829891553146E-3</v>
      </c>
    </row>
    <row r="144" spans="1:26" x14ac:dyDescent="0.25">
      <c r="A144" s="193" t="s">
        <v>121</v>
      </c>
      <c r="B144" s="194" t="s">
        <v>121</v>
      </c>
      <c r="C144" s="195">
        <v>0</v>
      </c>
      <c r="D144" s="195">
        <v>902</v>
      </c>
      <c r="E144" s="195">
        <v>435</v>
      </c>
      <c r="F144" s="195">
        <v>1205</v>
      </c>
      <c r="G144" s="195">
        <v>791</v>
      </c>
      <c r="H144" s="196">
        <f t="shared" si="64"/>
        <v>-0.34356846473029046</v>
      </c>
      <c r="I144" s="212" t="str">
        <f t="shared" si="63"/>
        <v>-</v>
      </c>
      <c r="J144" s="196">
        <f t="shared" si="65"/>
        <v>1.0424216865882105E-3</v>
      </c>
      <c r="K144" s="195">
        <v>0</v>
      </c>
      <c r="L144" s="195">
        <v>1918</v>
      </c>
      <c r="M144" s="195">
        <v>3253</v>
      </c>
      <c r="N144" s="195">
        <v>3495</v>
      </c>
      <c r="O144" s="195">
        <v>3931</v>
      </c>
      <c r="P144" s="196">
        <f t="shared" si="66"/>
        <v>0.12474964234620889</v>
      </c>
      <c r="Q144" s="212" t="str">
        <f t="shared" si="42"/>
        <v>-</v>
      </c>
      <c r="R144" s="196">
        <f t="shared" si="67"/>
        <v>1.1164980984597382E-3</v>
      </c>
      <c r="S144" s="195">
        <v>1676</v>
      </c>
      <c r="T144" s="195">
        <v>2820</v>
      </c>
      <c r="U144" s="195">
        <v>3688</v>
      </c>
      <c r="V144" s="195">
        <v>4700</v>
      </c>
      <c r="W144" s="195">
        <v>4722</v>
      </c>
      <c r="X144" s="196">
        <f t="shared" si="68"/>
        <v>4.6808510638298717E-3</v>
      </c>
      <c r="Y144" s="212">
        <f t="shared" si="43"/>
        <v>1.8174224343675416</v>
      </c>
      <c r="Z144" s="196">
        <f t="shared" si="62"/>
        <v>9.7646915848110323E-4</v>
      </c>
    </row>
    <row r="145" spans="1:26" x14ac:dyDescent="0.25">
      <c r="A145" s="193" t="s">
        <v>130</v>
      </c>
      <c r="B145" s="194" t="s">
        <v>130</v>
      </c>
      <c r="C145" s="195">
        <v>0</v>
      </c>
      <c r="D145" s="195">
        <v>93</v>
      </c>
      <c r="E145" s="195">
        <v>79</v>
      </c>
      <c r="F145" s="195">
        <v>139</v>
      </c>
      <c r="G145" s="195">
        <v>6</v>
      </c>
      <c r="H145" s="196">
        <f t="shared" si="64"/>
        <v>-0.95683453237410077</v>
      </c>
      <c r="I145" s="212" t="str">
        <f t="shared" si="63"/>
        <v>-</v>
      </c>
      <c r="J145" s="196">
        <f t="shared" si="65"/>
        <v>7.9071177238043773E-6</v>
      </c>
      <c r="K145" s="195">
        <v>0</v>
      </c>
      <c r="L145" s="195">
        <v>1104</v>
      </c>
      <c r="M145" s="195">
        <v>2826</v>
      </c>
      <c r="N145" s="195">
        <v>3106</v>
      </c>
      <c r="O145" s="195">
        <v>3058</v>
      </c>
      <c r="P145" s="196">
        <f t="shared" si="66"/>
        <v>-1.5453960077269846E-2</v>
      </c>
      <c r="Q145" s="212" t="str">
        <f t="shared" si="42"/>
        <v>-</v>
      </c>
      <c r="R145" s="196">
        <f t="shared" si="67"/>
        <v>8.6854520098953944E-4</v>
      </c>
      <c r="S145" s="195">
        <v>1597</v>
      </c>
      <c r="T145" s="195">
        <v>1197</v>
      </c>
      <c r="U145" s="195">
        <v>2905</v>
      </c>
      <c r="V145" s="195">
        <v>3245</v>
      </c>
      <c r="W145" s="195">
        <v>3064</v>
      </c>
      <c r="X145" s="196">
        <f t="shared" si="68"/>
        <v>-5.5778120184899804E-2</v>
      </c>
      <c r="Y145" s="212">
        <f t="shared" si="43"/>
        <v>0.9185973700688792</v>
      </c>
      <c r="Z145" s="196">
        <f t="shared" si="62"/>
        <v>7.6915480081008814E-4</v>
      </c>
    </row>
    <row r="146" spans="1:26" x14ac:dyDescent="0.25">
      <c r="A146" s="193" t="s">
        <v>133</v>
      </c>
      <c r="B146" s="194" t="s">
        <v>133</v>
      </c>
      <c r="C146" s="195">
        <v>0</v>
      </c>
      <c r="D146" s="195">
        <v>75</v>
      </c>
      <c r="E146" s="195">
        <v>49</v>
      </c>
      <c r="F146" s="195">
        <v>93</v>
      </c>
      <c r="G146" s="195">
        <v>54</v>
      </c>
      <c r="H146" s="196">
        <f t="shared" si="64"/>
        <v>-0.41935483870967738</v>
      </c>
      <c r="I146" s="212" t="str">
        <f t="shared" si="63"/>
        <v>-</v>
      </c>
      <c r="J146" s="196">
        <f t="shared" si="65"/>
        <v>7.1164059514239401E-5</v>
      </c>
      <c r="K146" s="195">
        <v>0</v>
      </c>
      <c r="L146" s="195">
        <v>715</v>
      </c>
      <c r="M146" s="195">
        <v>1637</v>
      </c>
      <c r="N146" s="195">
        <v>2212</v>
      </c>
      <c r="O146" s="195">
        <v>1992</v>
      </c>
      <c r="P146" s="196">
        <f t="shared" si="66"/>
        <v>-9.9457504520795714E-2</v>
      </c>
      <c r="Q146" s="212" t="str">
        <f t="shared" si="42"/>
        <v>-</v>
      </c>
      <c r="R146" s="196">
        <f t="shared" si="67"/>
        <v>5.6577568357461165E-4</v>
      </c>
      <c r="S146" s="195">
        <v>3384</v>
      </c>
      <c r="T146" s="195">
        <v>790</v>
      </c>
      <c r="U146" s="195">
        <v>1686</v>
      </c>
      <c r="V146" s="195">
        <v>2305</v>
      </c>
      <c r="W146" s="195">
        <v>2046</v>
      </c>
      <c r="X146" s="196">
        <f t="shared" si="68"/>
        <v>-0.11236442516268985</v>
      </c>
      <c r="Y146" s="212">
        <f t="shared" si="43"/>
        <v>-0.39539007092198586</v>
      </c>
      <c r="Z146" s="196">
        <f t="shared" si="62"/>
        <v>4.4640103069391E-4</v>
      </c>
    </row>
    <row r="147" spans="1:26" x14ac:dyDescent="0.25">
      <c r="A147" s="198" t="s">
        <v>147</v>
      </c>
      <c r="B147" s="199" t="s">
        <v>147</v>
      </c>
      <c r="C147" s="200">
        <f>C139-SUM(C140:C146)</f>
        <v>0</v>
      </c>
      <c r="D147" s="200">
        <f>D139-SUM(D140:D146)</f>
        <v>4064</v>
      </c>
      <c r="E147" s="200">
        <f>E139-SUM(E140:E146)</f>
        <v>7526</v>
      </c>
      <c r="F147" s="200">
        <f>F139-SUM(F140:F146)</f>
        <v>8151</v>
      </c>
      <c r="G147" s="200">
        <f>G139-SUM(G140:G146)</f>
        <v>9833</v>
      </c>
      <c r="H147" s="201">
        <f t="shared" si="64"/>
        <v>0.20635504846031161</v>
      </c>
      <c r="I147" s="213" t="str">
        <f t="shared" si="63"/>
        <v>-</v>
      </c>
      <c r="J147" s="201">
        <f t="shared" si="65"/>
        <v>1.2958448096361408E-2</v>
      </c>
      <c r="K147" s="200">
        <f>K139-SUM(K140:K146)</f>
        <v>0</v>
      </c>
      <c r="L147" s="200">
        <f>L139-SUM(L140:L146)</f>
        <v>23248</v>
      </c>
      <c r="M147" s="200">
        <f>M139-SUM(M140:M146)</f>
        <v>47264</v>
      </c>
      <c r="N147" s="200">
        <f>N139-SUM(N140:N146)</f>
        <v>51497</v>
      </c>
      <c r="O147" s="200">
        <f>O139-SUM(O140:O146)</f>
        <v>53308</v>
      </c>
      <c r="P147" s="201">
        <f t="shared" si="66"/>
        <v>3.5167097112453138E-2</v>
      </c>
      <c r="Q147" s="213" t="str">
        <f t="shared" si="42"/>
        <v>-</v>
      </c>
      <c r="R147" s="201">
        <f t="shared" si="67"/>
        <v>1.5140748062246686E-2</v>
      </c>
      <c r="S147" s="200">
        <f>S139-SUM(S140:S146)</f>
        <v>17310</v>
      </c>
      <c r="T147" s="200">
        <f>T139-SUM(T140:T146)</f>
        <v>27312</v>
      </c>
      <c r="U147" s="200">
        <f>U139-SUM(U140:U146)</f>
        <v>54790</v>
      </c>
      <c r="V147" s="200">
        <f>V139-SUM(V140:V146)</f>
        <v>59648</v>
      </c>
      <c r="W147" s="200">
        <f>W139-SUM(W140:W146)</f>
        <v>63141</v>
      </c>
      <c r="X147" s="201">
        <f t="shared" si="68"/>
        <v>5.8560219957081605E-2</v>
      </c>
      <c r="Y147" s="213">
        <f t="shared" si="43"/>
        <v>2.6476603119584055</v>
      </c>
      <c r="Z147" s="201">
        <f t="shared" si="62"/>
        <v>1.4506709651079081E-2</v>
      </c>
    </row>
    <row r="148" spans="1:26" x14ac:dyDescent="0.25">
      <c r="A148" s="1"/>
      <c r="B148" s="186" t="s">
        <v>55</v>
      </c>
      <c r="C148" s="184"/>
      <c r="D148" s="184"/>
      <c r="E148" s="184"/>
      <c r="F148" s="184"/>
      <c r="G148" s="184"/>
      <c r="H148" s="184"/>
      <c r="I148" s="184"/>
      <c r="J148" s="184"/>
      <c r="K148" s="184"/>
      <c r="L148" s="184"/>
      <c r="M148" s="184"/>
      <c r="N148" s="184"/>
      <c r="O148" s="184"/>
      <c r="P148" s="184"/>
      <c r="Q148" s="184"/>
      <c r="R148" s="184"/>
      <c r="S148" s="184"/>
      <c r="T148" s="184"/>
      <c r="U148" s="184"/>
      <c r="V148" s="184"/>
      <c r="W148" s="184"/>
      <c r="X148" s="184"/>
      <c r="Y148" s="184"/>
      <c r="Z148" s="184"/>
    </row>
    <row r="149" spans="1:26" x14ac:dyDescent="0.25">
      <c r="A149" s="1" t="s">
        <v>0</v>
      </c>
      <c r="B149" s="187" t="s">
        <v>70</v>
      </c>
      <c r="C149" s="209">
        <f>C150+C153</f>
        <v>11846</v>
      </c>
      <c r="D149" s="209">
        <f>D150+D153</f>
        <v>15189</v>
      </c>
      <c r="E149" s="209">
        <f>E150+E153</f>
        <v>30370</v>
      </c>
      <c r="F149" s="209">
        <f>F150+F153</f>
        <v>30695</v>
      </c>
      <c r="G149" s="209">
        <f>G150+G153</f>
        <v>35796</v>
      </c>
      <c r="H149" s="210">
        <f>IFERROR(G149/F149-1,"-")</f>
        <v>0.16618341749470589</v>
      </c>
      <c r="I149" s="210">
        <f t="shared" si="63"/>
        <v>2.0217795036299173</v>
      </c>
      <c r="J149" s="210">
        <f>G149/G$9</f>
        <v>4.717386434021692E-2</v>
      </c>
      <c r="K149" s="209">
        <f>K150+K153</f>
        <v>30203</v>
      </c>
      <c r="L149" s="209">
        <f>L150+L153</f>
        <v>55599</v>
      </c>
      <c r="M149" s="209">
        <f>M150+M153</f>
        <v>77698</v>
      </c>
      <c r="N149" s="209">
        <f>N150+N153</f>
        <v>83047</v>
      </c>
      <c r="O149" s="209">
        <f>O150+O153</f>
        <v>81300</v>
      </c>
      <c r="P149" s="210">
        <f>IFERROR(O149/N149-1,"-")</f>
        <v>-2.1036280660348905E-2</v>
      </c>
      <c r="Q149" s="210">
        <f t="shared" si="42"/>
        <v>1.6917855842134886</v>
      </c>
      <c r="R149" s="210">
        <f>O149/O$9</f>
        <v>2.3091146121795143E-2</v>
      </c>
      <c r="S149" s="209">
        <f>S150+S153</f>
        <v>42049</v>
      </c>
      <c r="T149" s="209">
        <f>T150+T153</f>
        <v>70788</v>
      </c>
      <c r="U149" s="209">
        <f>U150+U153</f>
        <v>108068</v>
      </c>
      <c r="V149" s="209">
        <f>V150+V153</f>
        <v>113742</v>
      </c>
      <c r="W149" s="209">
        <f>W150+W153</f>
        <v>117096</v>
      </c>
      <c r="X149" s="210">
        <f>IFERROR(W149/V149-1,"-")</f>
        <v>2.948778815213382E-2</v>
      </c>
      <c r="Y149" s="210">
        <f t="shared" si="43"/>
        <v>1.7847511236890297</v>
      </c>
      <c r="Z149" s="210">
        <f t="shared" ref="Z149:Z161" si="69">U149/U$9</f>
        <v>2.8613088128724477E-2</v>
      </c>
    </row>
    <row r="150" spans="1:26" x14ac:dyDescent="0.25">
      <c r="A150" s="1" t="s">
        <v>98</v>
      </c>
      <c r="B150" s="190" t="s">
        <v>99</v>
      </c>
      <c r="C150" s="191">
        <v>8198</v>
      </c>
      <c r="D150" s="191">
        <v>8139</v>
      </c>
      <c r="E150" s="191">
        <v>18008</v>
      </c>
      <c r="F150" s="191">
        <v>17683</v>
      </c>
      <c r="G150" s="191">
        <v>18511</v>
      </c>
      <c r="H150" s="192">
        <f>IFERROR(G150/F150-1,"-")</f>
        <v>4.6824633829101403E-2</v>
      </c>
      <c r="I150" s="211">
        <f t="shared" si="63"/>
        <v>1.2579897535984386</v>
      </c>
      <c r="J150" s="192">
        <f>G150/G$9</f>
        <v>2.4394776030890474E-2</v>
      </c>
      <c r="K150" s="191">
        <v>13645</v>
      </c>
      <c r="L150" s="191">
        <v>31999</v>
      </c>
      <c r="M150" s="191">
        <v>38624</v>
      </c>
      <c r="N150" s="191">
        <v>38986</v>
      </c>
      <c r="O150" s="191">
        <v>34388</v>
      </c>
      <c r="P150" s="192">
        <f>IFERROR(O150/N150-1,"-")</f>
        <v>-0.11793977325193661</v>
      </c>
      <c r="Q150" s="211">
        <f t="shared" si="42"/>
        <v>1.5201905459875413</v>
      </c>
      <c r="R150" s="192">
        <f>O150/O$9</f>
        <v>9.7670151640380249E-3</v>
      </c>
      <c r="S150" s="191">
        <v>21843</v>
      </c>
      <c r="T150" s="191">
        <v>40138</v>
      </c>
      <c r="U150" s="191">
        <v>56632</v>
      </c>
      <c r="V150" s="191">
        <v>56669</v>
      </c>
      <c r="W150" s="191">
        <v>52899</v>
      </c>
      <c r="X150" s="192">
        <f>IFERROR(W150/V150-1,"-")</f>
        <v>-6.6526672431135192E-2</v>
      </c>
      <c r="Y150" s="211">
        <f t="shared" si="43"/>
        <v>1.4217827221535502</v>
      </c>
      <c r="Z150" s="192">
        <f t="shared" si="69"/>
        <v>1.4994414691730434E-2</v>
      </c>
    </row>
    <row r="151" spans="1:26" x14ac:dyDescent="0.25">
      <c r="A151" s="193" t="s">
        <v>105</v>
      </c>
      <c r="B151" s="194" t="s">
        <v>105</v>
      </c>
      <c r="C151" s="195">
        <v>3239</v>
      </c>
      <c r="D151" s="195">
        <v>4159</v>
      </c>
      <c r="E151" s="195">
        <v>6621</v>
      </c>
      <c r="F151" s="195">
        <v>5819</v>
      </c>
      <c r="G151" s="195">
        <v>5597</v>
      </c>
      <c r="H151" s="196">
        <f>IFERROR(G151/F151-1,"-")</f>
        <v>-3.8150885031792425E-2</v>
      </c>
      <c r="I151" s="212">
        <f t="shared" si="63"/>
        <v>0.72800246989811668</v>
      </c>
      <c r="J151" s="196">
        <f>G151/G$9</f>
        <v>7.3760229833555171E-3</v>
      </c>
      <c r="K151" s="195">
        <v>11144</v>
      </c>
      <c r="L151" s="195">
        <v>28141</v>
      </c>
      <c r="M151" s="195">
        <v>34603</v>
      </c>
      <c r="N151" s="195">
        <v>36698</v>
      </c>
      <c r="O151" s="195">
        <v>31174</v>
      </c>
      <c r="P151" s="196">
        <f>IFERROR(O151/N151-1,"-")</f>
        <v>-0.15052591421875849</v>
      </c>
      <c r="Q151" s="212">
        <f t="shared" ref="Q151:Q161" si="70">IFERROR(O151/K151-1,"-")</f>
        <v>1.7973797559224693</v>
      </c>
      <c r="R151" s="196">
        <f>O151/O$9</f>
        <v>8.8541622287926433E-3</v>
      </c>
      <c r="S151" s="195">
        <v>14383</v>
      </c>
      <c r="T151" s="195">
        <v>32300</v>
      </c>
      <c r="U151" s="195">
        <v>41224</v>
      </c>
      <c r="V151" s="195">
        <v>42517</v>
      </c>
      <c r="W151" s="195">
        <v>36771</v>
      </c>
      <c r="X151" s="196">
        <f>IFERROR(W151/V151-1,"-")</f>
        <v>-0.1351459416233507</v>
      </c>
      <c r="Y151" s="212">
        <f t="shared" ref="Y151:Y161" si="71">IFERROR(W151/S151-1,"-")</f>
        <v>1.5565598275742194</v>
      </c>
      <c r="Z151" s="196">
        <f t="shared" si="69"/>
        <v>1.0914849400549079E-2</v>
      </c>
    </row>
    <row r="152" spans="1:26" x14ac:dyDescent="0.25">
      <c r="A152" s="193" t="s">
        <v>102</v>
      </c>
      <c r="B152" s="194" t="s">
        <v>102</v>
      </c>
      <c r="C152" s="195">
        <v>4959</v>
      </c>
      <c r="D152" s="195">
        <v>3980</v>
      </c>
      <c r="E152" s="195">
        <v>11387</v>
      </c>
      <c r="F152" s="195">
        <v>11864</v>
      </c>
      <c r="G152" s="195">
        <v>12914</v>
      </c>
      <c r="H152" s="196">
        <f>IFERROR(G152/F152-1,"-")</f>
        <v>8.8503034389750601E-2</v>
      </c>
      <c r="I152" s="212">
        <f t="shared" si="63"/>
        <v>1.6041540633192177</v>
      </c>
      <c r="J152" s="196">
        <f>G152/G$9</f>
        <v>1.7018753047534956E-2</v>
      </c>
      <c r="K152" s="195">
        <v>2501</v>
      </c>
      <c r="L152" s="195">
        <v>3858</v>
      </c>
      <c r="M152" s="195">
        <v>4021</v>
      </c>
      <c r="N152" s="195">
        <v>2288</v>
      </c>
      <c r="O152" s="195">
        <v>3214</v>
      </c>
      <c r="P152" s="196">
        <f>IFERROR(O152/N152-1,"-")</f>
        <v>0.4047202797202798</v>
      </c>
      <c r="Q152" s="212">
        <f t="shared" si="70"/>
        <v>0.28508596561375454</v>
      </c>
      <c r="R152" s="196">
        <f>O152/O$9</f>
        <v>9.1285293524538246E-4</v>
      </c>
      <c r="S152" s="195">
        <v>7460</v>
      </c>
      <c r="T152" s="195">
        <v>7838</v>
      </c>
      <c r="U152" s="195">
        <v>15408</v>
      </c>
      <c r="V152" s="195">
        <v>14152</v>
      </c>
      <c r="W152" s="195">
        <v>16128</v>
      </c>
      <c r="X152" s="196">
        <f>IFERROR(W152/V152-1,"-")</f>
        <v>0.13962690785754672</v>
      </c>
      <c r="Y152" s="212">
        <f t="shared" si="71"/>
        <v>1.1619302949061661</v>
      </c>
      <c r="Z152" s="196">
        <f t="shared" si="69"/>
        <v>4.0795652911813553E-3</v>
      </c>
    </row>
    <row r="153" spans="1:26" x14ac:dyDescent="0.25">
      <c r="A153" s="1" t="s">
        <v>148</v>
      </c>
      <c r="B153" s="190" t="s">
        <v>109</v>
      </c>
      <c r="C153" s="191">
        <v>3648</v>
      </c>
      <c r="D153" s="191">
        <v>7050</v>
      </c>
      <c r="E153" s="191">
        <v>12362</v>
      </c>
      <c r="F153" s="191">
        <v>13012</v>
      </c>
      <c r="G153" s="191">
        <v>17285</v>
      </c>
      <c r="H153" s="192">
        <f>IFERROR(G153/F153-1,"-")</f>
        <v>0.3283891792191822</v>
      </c>
      <c r="I153" s="211">
        <f t="shared" si="63"/>
        <v>3.7382127192982457</v>
      </c>
      <c r="J153" s="192">
        <f>G153/G$9</f>
        <v>2.2779088309326446E-2</v>
      </c>
      <c r="K153" s="191">
        <v>16558</v>
      </c>
      <c r="L153" s="191">
        <v>23600</v>
      </c>
      <c r="M153" s="191">
        <v>39074</v>
      </c>
      <c r="N153" s="191">
        <v>44061</v>
      </c>
      <c r="O153" s="191">
        <v>46912</v>
      </c>
      <c r="P153" s="192">
        <f>IFERROR(O153/N153-1,"-")</f>
        <v>6.4705748848187694E-2</v>
      </c>
      <c r="Q153" s="211">
        <f t="shared" si="70"/>
        <v>1.8331924145428191</v>
      </c>
      <c r="R153" s="192">
        <f>O153/O$9</f>
        <v>1.332413095775712E-2</v>
      </c>
      <c r="S153" s="191">
        <v>20206</v>
      </c>
      <c r="T153" s="191">
        <v>30650</v>
      </c>
      <c r="U153" s="191">
        <v>51436</v>
      </c>
      <c r="V153" s="191">
        <v>57073</v>
      </c>
      <c r="W153" s="191">
        <v>64197</v>
      </c>
      <c r="X153" s="192">
        <f>IFERROR(W153/V153-1,"-")</f>
        <v>0.12482259562314924</v>
      </c>
      <c r="Y153" s="211">
        <f t="shared" si="71"/>
        <v>2.1771256062555677</v>
      </c>
      <c r="Z153" s="192">
        <f t="shared" si="69"/>
        <v>1.3618673436994043E-2</v>
      </c>
    </row>
    <row r="154" spans="1:26" x14ac:dyDescent="0.25">
      <c r="A154" s="193" t="s">
        <v>112</v>
      </c>
      <c r="B154" s="194" t="s">
        <v>112</v>
      </c>
      <c r="C154" s="195">
        <v>434</v>
      </c>
      <c r="D154" s="195">
        <v>401</v>
      </c>
      <c r="E154" s="195">
        <v>974</v>
      </c>
      <c r="F154" s="195">
        <v>983</v>
      </c>
      <c r="G154" s="195">
        <v>1429</v>
      </c>
      <c r="H154" s="196">
        <f t="shared" ref="H154:H161" si="72">IFERROR(G154/F154-1,"-")</f>
        <v>0.45371312309257372</v>
      </c>
      <c r="I154" s="212">
        <f t="shared" si="63"/>
        <v>2.2926267281105992</v>
      </c>
      <c r="J154" s="196">
        <f t="shared" ref="J154:J161" si="73">G154/G$9</f>
        <v>1.8832118712194094E-3</v>
      </c>
      <c r="K154" s="195">
        <v>5335</v>
      </c>
      <c r="L154" s="195">
        <v>5197</v>
      </c>
      <c r="M154" s="195">
        <v>18197</v>
      </c>
      <c r="N154" s="195">
        <v>17767</v>
      </c>
      <c r="O154" s="195">
        <v>18362</v>
      </c>
      <c r="P154" s="196">
        <f t="shared" ref="P154:P161" si="74">IFERROR(O154/N154-1,"-")</f>
        <v>3.3489052738222558E-2</v>
      </c>
      <c r="Q154" s="212">
        <f t="shared" si="70"/>
        <v>2.4417994376757264</v>
      </c>
      <c r="R154" s="196">
        <f t="shared" ref="R154:R161" si="75">O154/O$9</f>
        <v>5.2152475410627607E-3</v>
      </c>
      <c r="S154" s="195">
        <v>5769</v>
      </c>
      <c r="T154" s="195">
        <v>5598</v>
      </c>
      <c r="U154" s="195">
        <v>19171</v>
      </c>
      <c r="V154" s="195">
        <v>18750</v>
      </c>
      <c r="W154" s="195">
        <v>19791</v>
      </c>
      <c r="X154" s="196">
        <f t="shared" ref="X154:X161" si="76">IFERROR(W154/V154-1,"-")</f>
        <v>5.5520000000000014E-2</v>
      </c>
      <c r="Y154" s="212">
        <f t="shared" si="71"/>
        <v>2.4305772230889238</v>
      </c>
      <c r="Z154" s="196">
        <f t="shared" si="69"/>
        <v>5.0758921467573834E-3</v>
      </c>
    </row>
    <row r="155" spans="1:26" x14ac:dyDescent="0.25">
      <c r="A155" s="193" t="s">
        <v>115</v>
      </c>
      <c r="B155" s="194" t="s">
        <v>115</v>
      </c>
      <c r="C155" s="195">
        <v>651</v>
      </c>
      <c r="D155" s="195">
        <v>1400</v>
      </c>
      <c r="E155" s="195">
        <v>2438</v>
      </c>
      <c r="F155" s="195">
        <v>2568</v>
      </c>
      <c r="G155" s="195">
        <v>2962</v>
      </c>
      <c r="H155" s="196">
        <f t="shared" si="72"/>
        <v>0.15342679127725867</v>
      </c>
      <c r="I155" s="212">
        <f t="shared" si="63"/>
        <v>3.5499231950844852</v>
      </c>
      <c r="J155" s="196">
        <f t="shared" si="73"/>
        <v>3.903480449651428E-3</v>
      </c>
      <c r="K155" s="195">
        <v>3972</v>
      </c>
      <c r="L155" s="195">
        <v>6636</v>
      </c>
      <c r="M155" s="195">
        <v>7498</v>
      </c>
      <c r="N155" s="195">
        <v>7764</v>
      </c>
      <c r="O155" s="195">
        <v>7140</v>
      </c>
      <c r="P155" s="196">
        <f t="shared" si="74"/>
        <v>-8.037094281298296E-2</v>
      </c>
      <c r="Q155" s="212">
        <f t="shared" si="70"/>
        <v>0.797583081570997</v>
      </c>
      <c r="R155" s="196">
        <f t="shared" si="75"/>
        <v>2.0279309140174332E-3</v>
      </c>
      <c r="S155" s="195">
        <v>4623</v>
      </c>
      <c r="T155" s="195">
        <v>8036</v>
      </c>
      <c r="U155" s="195">
        <v>9936</v>
      </c>
      <c r="V155" s="195">
        <v>10332</v>
      </c>
      <c r="W155" s="195">
        <v>10102</v>
      </c>
      <c r="X155" s="196">
        <f t="shared" si="76"/>
        <v>-2.2260936895083239E-2</v>
      </c>
      <c r="Y155" s="212">
        <f t="shared" si="71"/>
        <v>1.1851611507678999</v>
      </c>
      <c r="Z155" s="196">
        <f t="shared" si="69"/>
        <v>2.6307477111356405E-3</v>
      </c>
    </row>
    <row r="156" spans="1:26" x14ac:dyDescent="0.25">
      <c r="A156" s="193" t="s">
        <v>118</v>
      </c>
      <c r="B156" s="194" t="s">
        <v>118</v>
      </c>
      <c r="C156" s="195">
        <v>563</v>
      </c>
      <c r="D156" s="195">
        <v>1370</v>
      </c>
      <c r="E156" s="195">
        <v>2211</v>
      </c>
      <c r="F156" s="195">
        <v>2245</v>
      </c>
      <c r="G156" s="195">
        <v>2884</v>
      </c>
      <c r="H156" s="196">
        <f t="shared" si="72"/>
        <v>0.2846325167037862</v>
      </c>
      <c r="I156" s="212">
        <f t="shared" si="63"/>
        <v>4.1225577264653639</v>
      </c>
      <c r="J156" s="196">
        <f t="shared" si="73"/>
        <v>3.8006879192419708E-3</v>
      </c>
      <c r="K156" s="195">
        <v>1717</v>
      </c>
      <c r="L156" s="195">
        <v>3754</v>
      </c>
      <c r="M156" s="195">
        <v>4261</v>
      </c>
      <c r="N156" s="195">
        <v>7004</v>
      </c>
      <c r="O156" s="195">
        <v>8840</v>
      </c>
      <c r="P156" s="196">
        <f t="shared" si="74"/>
        <v>0.26213592233009719</v>
      </c>
      <c r="Q156" s="212">
        <f t="shared" si="70"/>
        <v>4.1485148514851486</v>
      </c>
      <c r="R156" s="196">
        <f t="shared" si="75"/>
        <v>2.5107716078311081E-3</v>
      </c>
      <c r="S156" s="195">
        <v>2280</v>
      </c>
      <c r="T156" s="195">
        <v>5124</v>
      </c>
      <c r="U156" s="195">
        <v>6472</v>
      </c>
      <c r="V156" s="195">
        <v>9249</v>
      </c>
      <c r="W156" s="195">
        <v>11724</v>
      </c>
      <c r="X156" s="196">
        <f t="shared" si="76"/>
        <v>0.26759649691858578</v>
      </c>
      <c r="Y156" s="212">
        <f t="shared" si="71"/>
        <v>4.1421052631578945</v>
      </c>
      <c r="Z156" s="196">
        <f t="shared" si="69"/>
        <v>1.7135868746447128E-3</v>
      </c>
    </row>
    <row r="157" spans="1:26" x14ac:dyDescent="0.25">
      <c r="A157" s="193" t="s">
        <v>125</v>
      </c>
      <c r="B157" s="194" t="s">
        <v>125</v>
      </c>
      <c r="C157" s="195">
        <v>250</v>
      </c>
      <c r="D157" s="195">
        <v>317</v>
      </c>
      <c r="E157" s="195">
        <v>761</v>
      </c>
      <c r="F157" s="195">
        <v>634</v>
      </c>
      <c r="G157" s="195">
        <v>898</v>
      </c>
      <c r="H157" s="196">
        <f t="shared" si="72"/>
        <v>0.41640378548895907</v>
      </c>
      <c r="I157" s="212">
        <f t="shared" si="63"/>
        <v>2.5920000000000001</v>
      </c>
      <c r="J157" s="196">
        <f t="shared" si="73"/>
        <v>1.1834319526627219E-3</v>
      </c>
      <c r="K157" s="195">
        <v>328</v>
      </c>
      <c r="L157" s="195">
        <v>589</v>
      </c>
      <c r="M157" s="195">
        <v>856</v>
      </c>
      <c r="N157" s="195">
        <v>868</v>
      </c>
      <c r="O157" s="195">
        <v>969</v>
      </c>
      <c r="P157" s="196">
        <f t="shared" si="74"/>
        <v>0.11635944700460832</v>
      </c>
      <c r="Q157" s="212">
        <f t="shared" si="70"/>
        <v>1.9542682926829267</v>
      </c>
      <c r="R157" s="196">
        <f t="shared" si="75"/>
        <v>2.7521919547379454E-4</v>
      </c>
      <c r="S157" s="195">
        <v>578</v>
      </c>
      <c r="T157" s="195">
        <v>906</v>
      </c>
      <c r="U157" s="195">
        <v>1617</v>
      </c>
      <c r="V157" s="195">
        <v>1502</v>
      </c>
      <c r="W157" s="195">
        <v>1867</v>
      </c>
      <c r="X157" s="196">
        <f t="shared" si="76"/>
        <v>0.24300932090545935</v>
      </c>
      <c r="Y157" s="212">
        <f t="shared" si="71"/>
        <v>2.2301038062283736</v>
      </c>
      <c r="Z157" s="196">
        <f t="shared" si="69"/>
        <v>4.2813194936657916E-4</v>
      </c>
    </row>
    <row r="158" spans="1:26" x14ac:dyDescent="0.25">
      <c r="A158" s="193" t="s">
        <v>121</v>
      </c>
      <c r="B158" s="194" t="s">
        <v>121</v>
      </c>
      <c r="C158" s="195">
        <v>236</v>
      </c>
      <c r="D158" s="195">
        <v>351</v>
      </c>
      <c r="E158" s="195">
        <v>597</v>
      </c>
      <c r="F158" s="195">
        <v>569</v>
      </c>
      <c r="G158" s="195">
        <v>772</v>
      </c>
      <c r="H158" s="196">
        <f t="shared" si="72"/>
        <v>0.35676625659050965</v>
      </c>
      <c r="I158" s="212">
        <f t="shared" si="63"/>
        <v>2.2711864406779663</v>
      </c>
      <c r="J158" s="196">
        <f t="shared" si="73"/>
        <v>1.0173824804628299E-3</v>
      </c>
      <c r="K158" s="195">
        <v>1262</v>
      </c>
      <c r="L158" s="195">
        <v>1393</v>
      </c>
      <c r="M158" s="195">
        <v>2346</v>
      </c>
      <c r="N158" s="195">
        <v>2305</v>
      </c>
      <c r="O158" s="195">
        <v>2540</v>
      </c>
      <c r="P158" s="196">
        <f t="shared" si="74"/>
        <v>0.10195227765726678</v>
      </c>
      <c r="Q158" s="212">
        <f t="shared" si="70"/>
        <v>1.0126782884310619</v>
      </c>
      <c r="R158" s="196">
        <f t="shared" si="75"/>
        <v>7.2142080134513734E-4</v>
      </c>
      <c r="S158" s="195">
        <v>1498</v>
      </c>
      <c r="T158" s="195">
        <v>1744</v>
      </c>
      <c r="U158" s="195">
        <v>2943</v>
      </c>
      <c r="V158" s="195">
        <v>2874</v>
      </c>
      <c r="W158" s="195">
        <v>3312</v>
      </c>
      <c r="X158" s="196">
        <f t="shared" si="76"/>
        <v>0.15240083507306879</v>
      </c>
      <c r="Y158" s="212">
        <f t="shared" si="71"/>
        <v>1.2109479305740987</v>
      </c>
      <c r="Z158" s="196">
        <f t="shared" si="69"/>
        <v>7.7921603400485004E-4</v>
      </c>
    </row>
    <row r="159" spans="1:26" x14ac:dyDescent="0.25">
      <c r="A159" s="193" t="s">
        <v>130</v>
      </c>
      <c r="B159" s="194" t="s">
        <v>130</v>
      </c>
      <c r="C159" s="195">
        <v>58</v>
      </c>
      <c r="D159" s="195">
        <v>71</v>
      </c>
      <c r="E159" s="195">
        <v>195</v>
      </c>
      <c r="F159" s="195">
        <v>156</v>
      </c>
      <c r="G159" s="195">
        <v>110</v>
      </c>
      <c r="H159" s="196">
        <f t="shared" si="72"/>
        <v>-0.29487179487179482</v>
      </c>
      <c r="I159" s="212">
        <f t="shared" si="63"/>
        <v>0.89655172413793105</v>
      </c>
      <c r="J159" s="196">
        <f t="shared" si="73"/>
        <v>1.449638249364136E-4</v>
      </c>
      <c r="K159" s="195">
        <v>174</v>
      </c>
      <c r="L159" s="195">
        <v>211</v>
      </c>
      <c r="M159" s="195">
        <v>277</v>
      </c>
      <c r="N159" s="195">
        <v>276</v>
      </c>
      <c r="O159" s="195">
        <v>264</v>
      </c>
      <c r="P159" s="196">
        <f t="shared" si="74"/>
        <v>-4.3478260869565188E-2</v>
      </c>
      <c r="Q159" s="212">
        <f t="shared" si="70"/>
        <v>0.51724137931034475</v>
      </c>
      <c r="R159" s="196">
        <f t="shared" si="75"/>
        <v>7.4982319509888295E-5</v>
      </c>
      <c r="S159" s="195">
        <v>232</v>
      </c>
      <c r="T159" s="195">
        <v>282</v>
      </c>
      <c r="U159" s="195">
        <v>472</v>
      </c>
      <c r="V159" s="195">
        <v>432</v>
      </c>
      <c r="W159" s="195">
        <v>374</v>
      </c>
      <c r="X159" s="196">
        <f t="shared" si="76"/>
        <v>-0.1342592592592593</v>
      </c>
      <c r="Y159" s="212">
        <f t="shared" si="71"/>
        <v>0.61206896551724133</v>
      </c>
      <c r="Z159" s="196">
        <f t="shared" si="69"/>
        <v>1.2497110705072688E-4</v>
      </c>
    </row>
    <row r="160" spans="1:26" x14ac:dyDescent="0.25">
      <c r="A160" s="193" t="s">
        <v>133</v>
      </c>
      <c r="B160" s="194" t="s">
        <v>133</v>
      </c>
      <c r="C160" s="195">
        <v>70</v>
      </c>
      <c r="D160" s="195">
        <v>84</v>
      </c>
      <c r="E160" s="195">
        <v>99</v>
      </c>
      <c r="F160" s="195">
        <v>155</v>
      </c>
      <c r="G160" s="195">
        <v>126</v>
      </c>
      <c r="H160" s="196">
        <f t="shared" si="72"/>
        <v>-0.18709677419354842</v>
      </c>
      <c r="I160" s="212">
        <f t="shared" si="63"/>
        <v>0.8</v>
      </c>
      <c r="J160" s="196">
        <f t="shared" si="73"/>
        <v>1.6604947219989194E-4</v>
      </c>
      <c r="K160" s="195">
        <v>228</v>
      </c>
      <c r="L160" s="195">
        <v>362</v>
      </c>
      <c r="M160" s="195">
        <v>555</v>
      </c>
      <c r="N160" s="195">
        <v>677</v>
      </c>
      <c r="O160" s="195">
        <v>456</v>
      </c>
      <c r="P160" s="196">
        <f t="shared" si="74"/>
        <v>-0.3264401772525849</v>
      </c>
      <c r="Q160" s="212">
        <f t="shared" si="70"/>
        <v>1</v>
      </c>
      <c r="R160" s="196">
        <f t="shared" si="75"/>
        <v>1.2951491551707977E-4</v>
      </c>
      <c r="S160" s="195">
        <v>298</v>
      </c>
      <c r="T160" s="195">
        <v>446</v>
      </c>
      <c r="U160" s="195">
        <v>654</v>
      </c>
      <c r="V160" s="195">
        <v>832</v>
      </c>
      <c r="W160" s="195">
        <v>582</v>
      </c>
      <c r="X160" s="196">
        <f t="shared" si="76"/>
        <v>-0.30048076923076927</v>
      </c>
      <c r="Y160" s="212">
        <f t="shared" si="71"/>
        <v>0.95302013422818788</v>
      </c>
      <c r="Z160" s="196">
        <f t="shared" si="69"/>
        <v>1.7315911866774445E-4</v>
      </c>
    </row>
    <row r="161" spans="1:26" x14ac:dyDescent="0.25">
      <c r="A161" s="198" t="s">
        <v>147</v>
      </c>
      <c r="B161" s="199" t="s">
        <v>147</v>
      </c>
      <c r="C161" s="200">
        <f>C153-SUM(C154:C160)</f>
        <v>1386</v>
      </c>
      <c r="D161" s="200">
        <f>D153-SUM(D154:D160)</f>
        <v>3056</v>
      </c>
      <c r="E161" s="200">
        <f>E153-SUM(E154:E160)</f>
        <v>5087</v>
      </c>
      <c r="F161" s="200">
        <f>F153-SUM(F154:F160)</f>
        <v>5702</v>
      </c>
      <c r="G161" s="200">
        <f>G153-SUM(G154:G160)</f>
        <v>8104</v>
      </c>
      <c r="H161" s="201">
        <f t="shared" si="72"/>
        <v>0.42125569975447208</v>
      </c>
      <c r="I161" s="213">
        <f t="shared" si="63"/>
        <v>4.8470418470418473</v>
      </c>
      <c r="J161" s="201">
        <f t="shared" si="73"/>
        <v>1.0679880338951779E-2</v>
      </c>
      <c r="K161" s="200">
        <f>K153-SUM(K154:K160)</f>
        <v>3542</v>
      </c>
      <c r="L161" s="200">
        <f>L153-SUM(L154:L160)</f>
        <v>5458</v>
      </c>
      <c r="M161" s="200">
        <f>M153-SUM(M154:M160)</f>
        <v>5084</v>
      </c>
      <c r="N161" s="200">
        <f>N153-SUM(N154:N160)</f>
        <v>7400</v>
      </c>
      <c r="O161" s="200">
        <f>O153-SUM(O154:O160)</f>
        <v>8341</v>
      </c>
      <c r="P161" s="201">
        <f t="shared" si="74"/>
        <v>0.12716216216216214</v>
      </c>
      <c r="Q161" s="213">
        <f t="shared" si="70"/>
        <v>1.3548842461885942</v>
      </c>
      <c r="R161" s="201">
        <f t="shared" si="75"/>
        <v>2.3690436629999175E-3</v>
      </c>
      <c r="S161" s="200">
        <f>S153-SUM(S154:S160)</f>
        <v>4928</v>
      </c>
      <c r="T161" s="200">
        <f>T153-SUM(T154:T160)</f>
        <v>8514</v>
      </c>
      <c r="U161" s="200">
        <f>U153-SUM(U154:U160)</f>
        <v>10171</v>
      </c>
      <c r="V161" s="200">
        <f>V153-SUM(V154:V160)</f>
        <v>13102</v>
      </c>
      <c r="W161" s="200">
        <f>W153-SUM(W154:W160)</f>
        <v>16445</v>
      </c>
      <c r="X161" s="201">
        <f t="shared" si="76"/>
        <v>0.25515188520836518</v>
      </c>
      <c r="Y161" s="213">
        <f t="shared" si="71"/>
        <v>2.3370535714285716</v>
      </c>
      <c r="Z161" s="201">
        <f t="shared" si="69"/>
        <v>2.692968495366405E-3</v>
      </c>
    </row>
    <row r="162" spans="1:26" ht="6" customHeight="1" x14ac:dyDescent="0.25">
      <c r="C162" s="103"/>
      <c r="D162" s="103"/>
      <c r="E162" s="103"/>
      <c r="F162" s="103"/>
      <c r="G162" s="103"/>
      <c r="H162" s="103"/>
      <c r="K162" s="103"/>
      <c r="L162" s="103"/>
      <c r="M162" s="103"/>
      <c r="N162" s="103"/>
      <c r="O162" s="103"/>
      <c r="P162" s="103"/>
      <c r="S162" s="103"/>
      <c r="T162" s="103"/>
      <c r="U162" s="103"/>
      <c r="V162" s="103"/>
      <c r="W162" s="103"/>
      <c r="X162" s="103"/>
    </row>
    <row r="163" spans="1:26" ht="6" customHeight="1" x14ac:dyDescent="0.25">
      <c r="B163" s="202"/>
      <c r="C163" s="202"/>
      <c r="D163" s="202"/>
      <c r="E163" s="202"/>
      <c r="F163" s="202"/>
      <c r="G163" s="202"/>
      <c r="H163" s="202"/>
      <c r="I163" s="202"/>
      <c r="J163" s="202"/>
      <c r="K163" s="202"/>
      <c r="L163" s="202"/>
      <c r="M163" s="202"/>
      <c r="N163" s="202"/>
      <c r="O163" s="202"/>
      <c r="P163" s="202"/>
      <c r="Q163" s="202"/>
      <c r="R163" s="202"/>
      <c r="S163" s="202"/>
      <c r="T163" s="202"/>
      <c r="U163" s="202"/>
      <c r="V163" s="202"/>
      <c r="W163" s="202"/>
      <c r="X163" s="202"/>
      <c r="Y163" s="202"/>
      <c r="Z163" s="202"/>
    </row>
    <row r="164" spans="1:26" x14ac:dyDescent="0.25">
      <c r="B164" s="131" t="s">
        <v>57</v>
      </c>
      <c r="C164" s="131"/>
      <c r="D164" s="131"/>
      <c r="E164" s="131"/>
      <c r="F164" s="131"/>
      <c r="G164" s="131"/>
      <c r="H164" s="131"/>
      <c r="I164" s="131"/>
      <c r="J164" s="131"/>
      <c r="K164" s="131"/>
      <c r="L164" s="131"/>
      <c r="M164" s="131"/>
      <c r="N164" s="131"/>
      <c r="O164" s="131"/>
      <c r="P164" s="131"/>
      <c r="Q164" s="131"/>
      <c r="R164" s="131"/>
      <c r="S164" s="131"/>
      <c r="T164" s="131"/>
      <c r="U164" s="131"/>
      <c r="V164" s="131"/>
      <c r="W164" s="131"/>
      <c r="X164" s="131"/>
      <c r="Y164" s="131"/>
      <c r="Z164" s="131"/>
    </row>
  </sheetData>
  <mergeCells count="3">
    <mergeCell ref="C6:J6"/>
    <mergeCell ref="K6:R6"/>
    <mergeCell ref="S6:Z6"/>
  </mergeCells>
  <pageMargins left="0.7" right="0.7" top="0.75" bottom="0.75" header="0.3" footer="0.3"/>
  <pageSetup paperSize="9" scale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113C9-C41E-48C5-81C3-1E3E3A5B6BEB}">
  <sheetPr>
    <tabColor theme="8" tint="0.59999389629810485"/>
  </sheetPr>
  <dimension ref="A4:L77"/>
  <sheetViews>
    <sheetView showGridLines="0" zoomScaleNormal="100" workbookViewId="0">
      <selection activeCell="G10" sqref="G10"/>
    </sheetView>
  </sheetViews>
  <sheetFormatPr baseColWidth="10" defaultColWidth="11.42578125" defaultRowHeight="15" x14ac:dyDescent="0.25"/>
  <cols>
    <col min="3" max="3" width="16.85546875" customWidth="1"/>
    <col min="4" max="4" width="15.5703125" customWidth="1"/>
    <col min="5" max="9" width="12.7109375" customWidth="1"/>
    <col min="12" max="12" width="12" customWidth="1"/>
  </cols>
  <sheetData>
    <row r="4" spans="2:12" ht="21.75" thickBot="1" x14ac:dyDescent="0.3">
      <c r="B4" s="12" t="s">
        <v>227</v>
      </c>
      <c r="C4" s="12"/>
      <c r="D4" s="12"/>
      <c r="E4" s="12"/>
      <c r="F4" s="12"/>
      <c r="G4" s="12"/>
      <c r="H4" s="12"/>
      <c r="I4" s="12"/>
      <c r="J4" s="12"/>
      <c r="K4" s="12"/>
      <c r="L4" s="13"/>
    </row>
    <row r="5" spans="2:12" ht="7.5" customHeight="1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ht="45" x14ac:dyDescent="0.25">
      <c r="B6" s="4"/>
      <c r="C6" s="4"/>
      <c r="D6" s="4"/>
      <c r="E6" s="14" t="s">
        <v>228</v>
      </c>
      <c r="F6" s="14" t="s">
        <v>229</v>
      </c>
      <c r="G6" s="14" t="s">
        <v>230</v>
      </c>
      <c r="H6" s="14" t="s">
        <v>231</v>
      </c>
      <c r="I6" s="14" t="s">
        <v>232</v>
      </c>
      <c r="J6" s="15" t="str">
        <f>CONCATENATE("var. ",RIGHT(I6,2),"/",RIGHT(H6,2))</f>
        <v>var. 25/24</v>
      </c>
      <c r="K6" s="15" t="str">
        <f>CONCATENATE("dif. ",RIGHT(I6,2),"/",RIGHT(H6,2))</f>
        <v>dif. 25/24</v>
      </c>
      <c r="L6" s="15" t="str">
        <f>CONCATENATE("cuota ",I6)</f>
        <v>cuota septiembre 2025</v>
      </c>
    </row>
    <row r="7" spans="2:12" x14ac:dyDescent="0.25">
      <c r="B7" s="16" t="s">
        <v>54</v>
      </c>
      <c r="C7" s="17" t="s">
        <v>8</v>
      </c>
      <c r="D7" s="18" t="s">
        <v>32</v>
      </c>
      <c r="E7" s="19">
        <v>15267</v>
      </c>
      <c r="F7" s="19">
        <v>20130</v>
      </c>
      <c r="G7" s="19">
        <v>22106</v>
      </c>
      <c r="H7" s="19">
        <v>21182</v>
      </c>
      <c r="I7" s="19">
        <v>24257</v>
      </c>
      <c r="J7" s="20">
        <f>I7/H7-1</f>
        <v>0.14517042772165056</v>
      </c>
      <c r="K7" s="19">
        <f>I7-H7</f>
        <v>3075</v>
      </c>
      <c r="L7" s="21">
        <f>I7/$I$7</f>
        <v>1</v>
      </c>
    </row>
    <row r="8" spans="2:12" x14ac:dyDescent="0.25">
      <c r="B8" s="22"/>
      <c r="C8" s="23"/>
      <c r="D8" s="24" t="s">
        <v>33</v>
      </c>
      <c r="E8" s="25">
        <v>13091</v>
      </c>
      <c r="F8" s="25">
        <v>16918</v>
      </c>
      <c r="G8" s="25">
        <v>18135</v>
      </c>
      <c r="H8" s="25">
        <v>17254</v>
      </c>
      <c r="I8" s="25">
        <v>20129</v>
      </c>
      <c r="J8" s="26">
        <f t="shared" ref="J8:J20" si="0">I8/H8-1</f>
        <v>0.16662802828329659</v>
      </c>
      <c r="K8" s="25">
        <f t="shared" ref="K8:K17" si="1">I8-H8</f>
        <v>2875</v>
      </c>
      <c r="L8" s="27">
        <f>I8/$I$7</f>
        <v>0.82982231933050254</v>
      </c>
    </row>
    <row r="9" spans="2:12" x14ac:dyDescent="0.25">
      <c r="B9" s="22"/>
      <c r="C9" s="28"/>
      <c r="D9" s="29" t="s">
        <v>34</v>
      </c>
      <c r="E9" s="30">
        <v>2176</v>
      </c>
      <c r="F9" s="30">
        <v>3212</v>
      </c>
      <c r="G9" s="30">
        <v>3971</v>
      </c>
      <c r="H9" s="30">
        <v>3928</v>
      </c>
      <c r="I9" s="30">
        <v>4128</v>
      </c>
      <c r="J9" s="31">
        <f>IFERROR(I9/H9-1,"-")</f>
        <v>5.0916496945010215E-2</v>
      </c>
      <c r="K9" s="30">
        <f>IFERROR(I9-H9,"-")</f>
        <v>200</v>
      </c>
      <c r="L9" s="31">
        <f>IFERROR(I9/$I$7,"-")</f>
        <v>0.17017768066949746</v>
      </c>
    </row>
    <row r="10" spans="2:12" x14ac:dyDescent="0.25">
      <c r="B10" s="22"/>
      <c r="C10" s="32" t="s">
        <v>35</v>
      </c>
      <c r="D10" s="33" t="s">
        <v>32</v>
      </c>
      <c r="E10" s="34">
        <v>17890</v>
      </c>
      <c r="F10" s="34">
        <v>24264</v>
      </c>
      <c r="G10" s="34">
        <v>26447</v>
      </c>
      <c r="H10" s="34">
        <v>25421</v>
      </c>
      <c r="I10" s="34">
        <v>28817</v>
      </c>
      <c r="J10" s="35">
        <f t="shared" si="0"/>
        <v>0.13359033869635351</v>
      </c>
      <c r="K10" s="34">
        <f t="shared" si="1"/>
        <v>3396</v>
      </c>
      <c r="L10" s="21">
        <f>I10/$I$10</f>
        <v>1</v>
      </c>
    </row>
    <row r="11" spans="2:12" x14ac:dyDescent="0.25">
      <c r="B11" s="22"/>
      <c r="C11" s="36"/>
      <c r="D11" s="4" t="s">
        <v>33</v>
      </c>
      <c r="E11" s="37">
        <v>15359</v>
      </c>
      <c r="F11" s="37">
        <v>20532</v>
      </c>
      <c r="G11" s="37">
        <v>21850</v>
      </c>
      <c r="H11" s="37">
        <v>20831</v>
      </c>
      <c r="I11" s="37">
        <v>23857</v>
      </c>
      <c r="J11" s="38">
        <f t="shared" si="0"/>
        <v>0.14526426959819494</v>
      </c>
      <c r="K11" s="37">
        <f t="shared" si="1"/>
        <v>3026</v>
      </c>
      <c r="L11" s="39">
        <f>I11/$I$10</f>
        <v>0.82787937675677548</v>
      </c>
    </row>
    <row r="12" spans="2:12" x14ac:dyDescent="0.25">
      <c r="B12" s="22"/>
      <c r="C12" s="40"/>
      <c r="D12" s="41" t="s">
        <v>34</v>
      </c>
      <c r="E12" s="42">
        <v>2531</v>
      </c>
      <c r="F12" s="42">
        <v>3732</v>
      </c>
      <c r="G12" s="42">
        <v>4597</v>
      </c>
      <c r="H12" s="42">
        <v>4590</v>
      </c>
      <c r="I12" s="42">
        <v>4960</v>
      </c>
      <c r="J12" s="43">
        <f>IFERROR(I12/H12-1,"-")</f>
        <v>8.0610021786492458E-2</v>
      </c>
      <c r="K12" s="42">
        <f>IFERROR(I12-H12,"-")</f>
        <v>370</v>
      </c>
      <c r="L12" s="43">
        <f>IFERROR(I12/$I$10,"-")</f>
        <v>0.1721206232432245</v>
      </c>
    </row>
    <row r="13" spans="2:12" x14ac:dyDescent="0.25">
      <c r="B13" s="22"/>
      <c r="C13" s="17" t="s">
        <v>21</v>
      </c>
      <c r="D13" s="18" t="s">
        <v>32</v>
      </c>
      <c r="E13" s="19">
        <v>89027</v>
      </c>
      <c r="F13" s="19">
        <v>136089</v>
      </c>
      <c r="G13" s="19">
        <v>150809</v>
      </c>
      <c r="H13" s="19">
        <v>145872</v>
      </c>
      <c r="I13" s="19">
        <v>164231</v>
      </c>
      <c r="J13" s="20">
        <f t="shared" si="0"/>
        <v>0.12585691565207857</v>
      </c>
      <c r="K13" s="19">
        <f t="shared" si="1"/>
        <v>18359</v>
      </c>
      <c r="L13" s="21">
        <f>I13/$I$13</f>
        <v>1</v>
      </c>
    </row>
    <row r="14" spans="2:12" x14ac:dyDescent="0.25">
      <c r="B14" s="22"/>
      <c r="C14" s="23"/>
      <c r="D14" s="24" t="s">
        <v>33</v>
      </c>
      <c r="E14" s="25">
        <v>77109</v>
      </c>
      <c r="F14" s="25">
        <v>116897</v>
      </c>
      <c r="G14" s="25">
        <v>126900</v>
      </c>
      <c r="H14" s="25">
        <v>122477</v>
      </c>
      <c r="I14" s="25">
        <v>136310</v>
      </c>
      <c r="J14" s="26">
        <f t="shared" si="0"/>
        <v>0.11294365472700996</v>
      </c>
      <c r="K14" s="25">
        <f t="shared" si="1"/>
        <v>13833</v>
      </c>
      <c r="L14" s="27">
        <f>I14/$I$13</f>
        <v>0.82998946605695634</v>
      </c>
    </row>
    <row r="15" spans="2:12" x14ac:dyDescent="0.25">
      <c r="B15" s="22"/>
      <c r="C15" s="28"/>
      <c r="D15" s="29" t="s">
        <v>34</v>
      </c>
      <c r="E15" s="30">
        <v>11918</v>
      </c>
      <c r="F15" s="30">
        <v>19192</v>
      </c>
      <c r="G15" s="30">
        <v>23909</v>
      </c>
      <c r="H15" s="30">
        <v>23395</v>
      </c>
      <c r="I15" s="30">
        <v>27921</v>
      </c>
      <c r="J15" s="31">
        <f>IFERROR(I15/H15-1,"-")</f>
        <v>0.19346014105578124</v>
      </c>
      <c r="K15" s="30">
        <f>IFERROR(I15-H15,"-")</f>
        <v>4526</v>
      </c>
      <c r="L15" s="31">
        <f>IFERROR(I15/$I$13,"-")</f>
        <v>0.17001053394304363</v>
      </c>
    </row>
    <row r="16" spans="2:12" x14ac:dyDescent="0.25">
      <c r="B16" s="22"/>
      <c r="C16" s="32" t="s">
        <v>22</v>
      </c>
      <c r="D16" s="33" t="s">
        <v>32</v>
      </c>
      <c r="E16" s="44">
        <v>5.8313355603589443</v>
      </c>
      <c r="F16" s="44">
        <v>6.7605067064083455</v>
      </c>
      <c r="G16" s="44">
        <v>6.8220845019451737</v>
      </c>
      <c r="H16" s="44">
        <v>6.8866018317439339</v>
      </c>
      <c r="I16" s="44">
        <v>6.7704580121202129</v>
      </c>
      <c r="J16" s="45">
        <f t="shared" si="0"/>
        <v>-1.6865185829149199E-2</v>
      </c>
      <c r="K16" s="46">
        <f t="shared" si="1"/>
        <v>-0.116143819623721</v>
      </c>
      <c r="L16" s="47"/>
    </row>
    <row r="17" spans="2:12" x14ac:dyDescent="0.25">
      <c r="B17" s="22"/>
      <c r="C17" s="36"/>
      <c r="D17" s="4" t="s">
        <v>33</v>
      </c>
      <c r="E17" s="48">
        <f>E14/E8</f>
        <v>5.8902299289588269</v>
      </c>
      <c r="F17" s="48">
        <f t="shared" ref="F17:I17" si="2">F14/F8</f>
        <v>6.9096228868660594</v>
      </c>
      <c r="G17" s="48">
        <f t="shared" si="2"/>
        <v>6.9975186104218361</v>
      </c>
      <c r="H17" s="48">
        <f t="shared" si="2"/>
        <v>7.0984699200185464</v>
      </c>
      <c r="I17" s="48">
        <f t="shared" si="2"/>
        <v>6.7718217497143423</v>
      </c>
      <c r="J17" s="49">
        <f t="shared" si="0"/>
        <v>-4.6016701343344013E-2</v>
      </c>
      <c r="K17" s="50">
        <f t="shared" si="1"/>
        <v>-0.32664817030420412</v>
      </c>
      <c r="L17" s="51"/>
    </row>
    <row r="18" spans="2:12" x14ac:dyDescent="0.25">
      <c r="B18" s="22"/>
      <c r="C18" s="40"/>
      <c r="D18" s="41" t="s">
        <v>34</v>
      </c>
      <c r="E18" s="52">
        <f>IFERROR(E15/E9,"-")</f>
        <v>5.477022058823529</v>
      </c>
      <c r="F18" s="52">
        <f t="shared" ref="F18:I18" si="3">IFERROR(F15/F9,"-")</f>
        <v>5.9750933997509339</v>
      </c>
      <c r="G18" s="52">
        <f t="shared" si="3"/>
        <v>6.0209015361369929</v>
      </c>
      <c r="H18" s="52">
        <f t="shared" si="3"/>
        <v>5.9559572301425661</v>
      </c>
      <c r="I18" s="52">
        <f t="shared" si="3"/>
        <v>6.7638081395348841</v>
      </c>
      <c r="J18" s="43">
        <f>IFERROR(I18/H18-1,"-")</f>
        <v>0.13563745980307873</v>
      </c>
      <c r="K18" s="42">
        <f>IFERROR(I18-H18,"-")</f>
        <v>0.80785090939231807</v>
      </c>
      <c r="L18" s="43"/>
    </row>
    <row r="19" spans="2:12" x14ac:dyDescent="0.25">
      <c r="B19" s="22"/>
      <c r="C19" s="53" t="s">
        <v>36</v>
      </c>
      <c r="D19" s="18" t="s">
        <v>32</v>
      </c>
      <c r="E19" s="21">
        <v>0.5484</v>
      </c>
      <c r="F19" s="21">
        <v>0.70709999999999995</v>
      </c>
      <c r="G19" s="21">
        <v>0.78359999999999996</v>
      </c>
      <c r="H19" s="21">
        <v>0.75800000000000001</v>
      </c>
      <c r="I19" s="21">
        <v>0.84260000000000002</v>
      </c>
      <c r="J19" s="20">
        <f t="shared" si="0"/>
        <v>0.11160949868073877</v>
      </c>
      <c r="K19" s="54">
        <f>(I19-H19)*100</f>
        <v>8.4600000000000009</v>
      </c>
      <c r="L19" s="21"/>
    </row>
    <row r="20" spans="2:12" x14ac:dyDescent="0.25">
      <c r="B20" s="22"/>
      <c r="C20" s="55"/>
      <c r="D20" s="24" t="s">
        <v>33</v>
      </c>
      <c r="E20" s="27">
        <v>0.68519999999999992</v>
      </c>
      <c r="F20" s="27">
        <v>0.81950000000000001</v>
      </c>
      <c r="G20" s="27">
        <v>0.88959999999999995</v>
      </c>
      <c r="H20" s="27">
        <v>0.85860000000000003</v>
      </c>
      <c r="I20" s="27">
        <v>0.9556</v>
      </c>
      <c r="J20" s="26">
        <f t="shared" si="0"/>
        <v>0.11297460982995577</v>
      </c>
      <c r="K20" s="56">
        <f>(I20-H20)*100</f>
        <v>9.6999999999999975</v>
      </c>
      <c r="L20" s="27"/>
    </row>
    <row r="21" spans="2:12" x14ac:dyDescent="0.25">
      <c r="B21" s="22"/>
      <c r="C21" s="57"/>
      <c r="D21" s="29" t="s">
        <v>34</v>
      </c>
      <c r="E21" s="31">
        <v>0.23929999999999998</v>
      </c>
      <c r="F21" s="31">
        <v>0.38539999999999996</v>
      </c>
      <c r="G21" s="31">
        <v>0.48009999999999997</v>
      </c>
      <c r="H21" s="31">
        <v>0.4698</v>
      </c>
      <c r="I21" s="31">
        <v>0.5343</v>
      </c>
      <c r="J21" s="31">
        <f>IFERROR(I21/H21-1,"-")</f>
        <v>0.13729246487867175</v>
      </c>
      <c r="K21" s="30">
        <f>IFERROR(I21-H21,"-")</f>
        <v>6.4500000000000002E-2</v>
      </c>
      <c r="L21" s="58"/>
    </row>
    <row r="22" spans="2:12" x14ac:dyDescent="0.25">
      <c r="B22" s="22"/>
      <c r="C22" s="59" t="s">
        <v>37</v>
      </c>
      <c r="D22" s="33" t="s">
        <v>32</v>
      </c>
      <c r="E22" s="34">
        <v>5411</v>
      </c>
      <c r="F22" s="34">
        <v>6415</v>
      </c>
      <c r="G22" s="34">
        <v>6415</v>
      </c>
      <c r="H22" s="34">
        <v>6415</v>
      </c>
      <c r="I22" s="34">
        <v>6497</v>
      </c>
      <c r="J22" s="45">
        <f>I22/H22-1</f>
        <v>1.278254091971931E-2</v>
      </c>
      <c r="K22" s="34">
        <f>I22-H22</f>
        <v>82</v>
      </c>
      <c r="L22" s="47">
        <f>I22/$I$22</f>
        <v>1</v>
      </c>
    </row>
    <row r="23" spans="2:12" x14ac:dyDescent="0.25">
      <c r="B23" s="22"/>
      <c r="C23" s="60"/>
      <c r="D23" s="4" t="s">
        <v>33</v>
      </c>
      <c r="E23" s="37">
        <v>3751</v>
      </c>
      <c r="F23" s="37">
        <v>4755</v>
      </c>
      <c r="G23" s="37">
        <v>4755</v>
      </c>
      <c r="H23" s="37">
        <v>4755</v>
      </c>
      <c r="I23" s="37">
        <v>4755</v>
      </c>
      <c r="J23" s="49">
        <f>I23/H23-1</f>
        <v>0</v>
      </c>
      <c r="K23" s="37">
        <f>I23-H23</f>
        <v>0</v>
      </c>
      <c r="L23" s="51">
        <f>I23/$I$22</f>
        <v>0.73187625057718952</v>
      </c>
    </row>
    <row r="24" spans="2:12" x14ac:dyDescent="0.25">
      <c r="B24" s="61"/>
      <c r="C24" s="62"/>
      <c r="D24" s="41" t="s">
        <v>34</v>
      </c>
      <c r="E24" s="42">
        <v>1660</v>
      </c>
      <c r="F24" s="42">
        <v>1660</v>
      </c>
      <c r="G24" s="42">
        <v>1660</v>
      </c>
      <c r="H24" s="42">
        <v>1660</v>
      </c>
      <c r="I24" s="42">
        <v>1742</v>
      </c>
      <c r="J24" s="43">
        <f>IFERROR(I24/H24-1,"-")</f>
        <v>4.9397590361445864E-2</v>
      </c>
      <c r="K24" s="42">
        <f>IFERROR(I24-H24,"-")</f>
        <v>82</v>
      </c>
      <c r="L24" s="43">
        <f>IFERROR(I24/$I$22,"-")</f>
        <v>0.26812374942281053</v>
      </c>
    </row>
    <row r="25" spans="2:12" ht="7.5" customHeight="1" x14ac:dyDescent="0.25"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4"/>
    </row>
    <row r="26" spans="2:12" ht="24.75" customHeight="1" x14ac:dyDescent="0.25">
      <c r="B26" s="65" t="s">
        <v>38</v>
      </c>
      <c r="C26" s="66"/>
      <c r="D26" s="66"/>
      <c r="E26" s="66"/>
      <c r="F26" s="66"/>
      <c r="G26" s="66"/>
      <c r="H26" s="66"/>
      <c r="I26" s="66"/>
      <c r="J26" s="66"/>
      <c r="K26" s="66"/>
    </row>
    <row r="29" spans="2:12" ht="21.75" customHeight="1" thickBot="1" x14ac:dyDescent="0.3">
      <c r="B29" s="12" t="s">
        <v>227</v>
      </c>
      <c r="C29" s="12"/>
      <c r="D29" s="12"/>
      <c r="E29" s="12"/>
      <c r="F29" s="12"/>
      <c r="G29" s="12"/>
      <c r="H29" s="12"/>
      <c r="I29" s="12"/>
      <c r="J29" s="12"/>
      <c r="K29" s="12"/>
      <c r="L29" s="13"/>
    </row>
    <row r="30" spans="2:12" ht="6" customHeight="1" thickBot="1" x14ac:dyDescent="0.3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2:12" ht="75" x14ac:dyDescent="0.25">
      <c r="B31" s="4"/>
      <c r="C31" s="4"/>
      <c r="D31" s="4"/>
      <c r="E31" s="14" t="s">
        <v>233</v>
      </c>
      <c r="F31" s="14" t="s">
        <v>234</v>
      </c>
      <c r="G31" s="14" t="s">
        <v>235</v>
      </c>
      <c r="H31" s="14" t="s">
        <v>236</v>
      </c>
      <c r="I31" s="14" t="s">
        <v>237</v>
      </c>
      <c r="J31" s="15" t="str">
        <f>CONCATENATE("var. ",RIGHT(I31,2),"/",RIGHT(H31,2))</f>
        <v>var. 25/24</v>
      </c>
      <c r="K31" s="15" t="str">
        <f>CONCATENATE("dif. ",RIGHT(I31,2),"/",RIGHT(H31,2))</f>
        <v>dif. 25/24</v>
      </c>
      <c r="L31" s="15" t="str">
        <f>CONCATENATE("cuota ",I31)</f>
        <v>cuota acumulado a septiembre 2025</v>
      </c>
    </row>
    <row r="32" spans="2:12" ht="15" customHeight="1" x14ac:dyDescent="0.25">
      <c r="B32" s="16" t="s">
        <v>54</v>
      </c>
      <c r="C32" s="17" t="s">
        <v>8</v>
      </c>
      <c r="D32" s="18" t="s">
        <v>32</v>
      </c>
      <c r="E32" s="67">
        <v>77584</v>
      </c>
      <c r="F32" s="67">
        <v>190426</v>
      </c>
      <c r="G32" s="67">
        <v>205238</v>
      </c>
      <c r="H32" s="67">
        <v>213816</v>
      </c>
      <c r="I32" s="67">
        <v>213733</v>
      </c>
      <c r="J32" s="20">
        <f>I32/H32-1</f>
        <v>-3.8818423317243944E-4</v>
      </c>
      <c r="K32" s="19">
        <f>I32-H32</f>
        <v>-83</v>
      </c>
      <c r="L32" s="21">
        <f>I32/$I$32</f>
        <v>1</v>
      </c>
    </row>
    <row r="33" spans="1:12" x14ac:dyDescent="0.25">
      <c r="B33" s="22"/>
      <c r="C33" s="23"/>
      <c r="D33" s="24" t="s">
        <v>33</v>
      </c>
      <c r="E33" s="68">
        <v>64813</v>
      </c>
      <c r="F33" s="68">
        <v>157275</v>
      </c>
      <c r="G33" s="68">
        <v>168976</v>
      </c>
      <c r="H33" s="68">
        <v>176312</v>
      </c>
      <c r="I33" s="68">
        <v>173044</v>
      </c>
      <c r="J33" s="26">
        <f t="shared" ref="J33:J45" si="4">I33/H33-1</f>
        <v>-1.853532374427147E-2</v>
      </c>
      <c r="K33" s="25">
        <f t="shared" ref="K33:K42" si="5">I33-H33</f>
        <v>-3268</v>
      </c>
      <c r="L33" s="27">
        <f>I33/$I$32</f>
        <v>0.80962696448372506</v>
      </c>
    </row>
    <row r="34" spans="1:12" x14ac:dyDescent="0.25">
      <c r="B34" s="22"/>
      <c r="C34" s="28"/>
      <c r="D34" s="29" t="s">
        <v>34</v>
      </c>
      <c r="E34" s="30">
        <v>12771</v>
      </c>
      <c r="F34" s="30">
        <v>33151</v>
      </c>
      <c r="G34" s="30">
        <v>36262</v>
      </c>
      <c r="H34" s="30">
        <v>37504</v>
      </c>
      <c r="I34" s="30">
        <v>40689</v>
      </c>
      <c r="J34" s="31">
        <f>IFERROR(I34/H34-1,"-")</f>
        <v>8.4924274744027306E-2</v>
      </c>
      <c r="K34" s="30">
        <f>IFERROR(I34-H34,"-")</f>
        <v>3185</v>
      </c>
      <c r="L34" s="31">
        <f>IFERROR(I34/I32,"-")</f>
        <v>0.19037303551627499</v>
      </c>
    </row>
    <row r="35" spans="1:12" x14ac:dyDescent="0.25">
      <c r="B35" s="22"/>
      <c r="C35" s="32" t="s">
        <v>35</v>
      </c>
      <c r="D35" s="33" t="s">
        <v>32</v>
      </c>
      <c r="E35" s="69">
        <v>86363</v>
      </c>
      <c r="F35" s="69">
        <v>226073</v>
      </c>
      <c r="G35" s="69">
        <v>244622</v>
      </c>
      <c r="H35" s="69">
        <v>256066</v>
      </c>
      <c r="I35" s="69">
        <v>254821</v>
      </c>
      <c r="J35" s="35">
        <f t="shared" si="4"/>
        <v>-4.8620277584685567E-3</v>
      </c>
      <c r="K35" s="34">
        <f t="shared" si="5"/>
        <v>-1245</v>
      </c>
      <c r="L35" s="21">
        <f>I35/$I$35</f>
        <v>1</v>
      </c>
    </row>
    <row r="36" spans="1:12" x14ac:dyDescent="0.25">
      <c r="B36" s="22"/>
      <c r="C36" s="36"/>
      <c r="D36" s="4" t="s">
        <v>33</v>
      </c>
      <c r="E36" s="70">
        <v>71617</v>
      </c>
      <c r="F36" s="70">
        <v>187727</v>
      </c>
      <c r="G36" s="70">
        <v>201878</v>
      </c>
      <c r="H36" s="70">
        <v>211933</v>
      </c>
      <c r="I36" s="70">
        <v>206934</v>
      </c>
      <c r="J36" s="38">
        <f t="shared" si="4"/>
        <v>-2.3587643264616598E-2</v>
      </c>
      <c r="K36" s="37">
        <f t="shared" si="5"/>
        <v>-4999</v>
      </c>
      <c r="L36" s="39">
        <f>I36/$I$35</f>
        <v>0.81207592780814764</v>
      </c>
    </row>
    <row r="37" spans="1:12" x14ac:dyDescent="0.25">
      <c r="B37" s="22"/>
      <c r="C37" s="40"/>
      <c r="D37" s="41" t="s">
        <v>34</v>
      </c>
      <c r="E37" s="42">
        <v>14746</v>
      </c>
      <c r="F37" s="42">
        <v>38346</v>
      </c>
      <c r="G37" s="42">
        <v>42744</v>
      </c>
      <c r="H37" s="42">
        <v>44133</v>
      </c>
      <c r="I37" s="42">
        <v>47887</v>
      </c>
      <c r="J37" s="43">
        <f>IFERROR(I37/H37-1,"-")</f>
        <v>8.506106541590186E-2</v>
      </c>
      <c r="K37" s="42">
        <f>IFERROR(I37-H37,"-")</f>
        <v>3754</v>
      </c>
      <c r="L37" s="43">
        <f>IFERROR(I37/I35,"-")</f>
        <v>0.18792407219185231</v>
      </c>
    </row>
    <row r="38" spans="1:12" x14ac:dyDescent="0.25">
      <c r="B38" s="22"/>
      <c r="C38" s="17" t="s">
        <v>21</v>
      </c>
      <c r="D38" s="18" t="s">
        <v>32</v>
      </c>
      <c r="E38" s="67">
        <v>377103</v>
      </c>
      <c r="F38" s="67">
        <v>1289839</v>
      </c>
      <c r="G38" s="67">
        <v>1393117</v>
      </c>
      <c r="H38" s="67">
        <v>1487889</v>
      </c>
      <c r="I38" s="67">
        <v>1504746</v>
      </c>
      <c r="J38" s="20">
        <f t="shared" si="4"/>
        <v>1.1329474174484711E-2</v>
      </c>
      <c r="K38" s="19">
        <f t="shared" si="5"/>
        <v>16857</v>
      </c>
      <c r="L38" s="21">
        <f>I38/$I$38</f>
        <v>1</v>
      </c>
    </row>
    <row r="39" spans="1:12" x14ac:dyDescent="0.25">
      <c r="B39" s="22"/>
      <c r="C39" s="23"/>
      <c r="D39" s="24" t="s">
        <v>33</v>
      </c>
      <c r="E39" s="68">
        <v>309113</v>
      </c>
      <c r="F39" s="68">
        <v>1089313</v>
      </c>
      <c r="G39" s="68">
        <v>1162856</v>
      </c>
      <c r="H39" s="68">
        <v>1254874</v>
      </c>
      <c r="I39" s="68">
        <v>1232460</v>
      </c>
      <c r="J39" s="26">
        <f t="shared" si="4"/>
        <v>-1.786155422775515E-2</v>
      </c>
      <c r="K39" s="25">
        <f t="shared" si="5"/>
        <v>-22414</v>
      </c>
      <c r="L39" s="27">
        <f>I39/$I$38</f>
        <v>0.81904853044965731</v>
      </c>
    </row>
    <row r="40" spans="1:12" x14ac:dyDescent="0.25">
      <c r="B40" s="22"/>
      <c r="C40" s="28"/>
      <c r="D40" s="29" t="s">
        <v>34</v>
      </c>
      <c r="E40" s="30">
        <v>67990</v>
      </c>
      <c r="F40" s="30">
        <v>200526</v>
      </c>
      <c r="G40" s="30">
        <v>230261</v>
      </c>
      <c r="H40" s="30">
        <v>233015</v>
      </c>
      <c r="I40" s="30">
        <v>272286</v>
      </c>
      <c r="J40" s="31">
        <f>IFERROR(I40/H40-1,"-")</f>
        <v>0.16853421453554485</v>
      </c>
      <c r="K40" s="30">
        <f>IFERROR(I40-H40,"-")</f>
        <v>39271</v>
      </c>
      <c r="L40" s="31">
        <f>IFERROR(I40/I38,"-")</f>
        <v>0.18095146955034272</v>
      </c>
    </row>
    <row r="41" spans="1:12" x14ac:dyDescent="0.25">
      <c r="B41" s="22"/>
      <c r="C41" s="32" t="s">
        <v>22</v>
      </c>
      <c r="D41" s="33" t="s">
        <v>32</v>
      </c>
      <c r="E41" s="71">
        <v>4.8605769230769234</v>
      </c>
      <c r="F41" s="71">
        <v>6.7734395513217729</v>
      </c>
      <c r="G41" s="71">
        <v>6.7878121985207418</v>
      </c>
      <c r="H41" s="71">
        <v>6.958735548321922</v>
      </c>
      <c r="I41" s="71">
        <v>7.0403072992939792</v>
      </c>
      <c r="J41" s="45">
        <f t="shared" si="4"/>
        <v>1.1722208784285204E-2</v>
      </c>
      <c r="K41" s="46">
        <f t="shared" si="5"/>
        <v>8.1571750972057266E-2</v>
      </c>
      <c r="L41" s="47"/>
    </row>
    <row r="42" spans="1:12" x14ac:dyDescent="0.25">
      <c r="B42" s="22"/>
      <c r="C42" s="36"/>
      <c r="D42" s="4" t="s">
        <v>33</v>
      </c>
      <c r="E42" s="72">
        <f t="shared" ref="E42:I42" si="6">E39/E33</f>
        <v>4.7693055405551359</v>
      </c>
      <c r="F42" s="72">
        <f t="shared" si="6"/>
        <v>6.9261675409314893</v>
      </c>
      <c r="G42" s="72">
        <f t="shared" si="6"/>
        <v>6.8817820282170246</v>
      </c>
      <c r="H42" s="72">
        <f t="shared" si="6"/>
        <v>7.1173487907799808</v>
      </c>
      <c r="I42" s="72">
        <f t="shared" si="6"/>
        <v>7.122234807332239</v>
      </c>
      <c r="J42" s="49">
        <f t="shared" si="4"/>
        <v>6.8649390326180892E-4</v>
      </c>
      <c r="K42" s="50">
        <f t="shared" si="5"/>
        <v>4.8860165522581767E-3</v>
      </c>
      <c r="L42" s="51"/>
    </row>
    <row r="43" spans="1:12" x14ac:dyDescent="0.25">
      <c r="B43" s="22"/>
      <c r="C43" s="40"/>
      <c r="D43" s="41" t="s">
        <v>34</v>
      </c>
      <c r="E43" s="52">
        <f>IFERROR(E40/E34,"-")</f>
        <v>5.3237804400595099</v>
      </c>
      <c r="F43" s="52">
        <f t="shared" ref="F43:I43" si="7">IFERROR(F40/F34,"-")</f>
        <v>6.0488673041537204</v>
      </c>
      <c r="G43" s="52">
        <f t="shared" si="7"/>
        <v>6.349925541889581</v>
      </c>
      <c r="H43" s="52">
        <f t="shared" si="7"/>
        <v>6.2130706058020477</v>
      </c>
      <c r="I43" s="52">
        <f t="shared" si="7"/>
        <v>6.6918823269188232</v>
      </c>
      <c r="J43" s="43">
        <f>IFERROR(I43/H43-1,"-")</f>
        <v>7.7065230945490892E-2</v>
      </c>
      <c r="K43" s="42">
        <f>IFERROR(I43-H43,"-")</f>
        <v>0.4788117211167755</v>
      </c>
      <c r="L43" s="73"/>
    </row>
    <row r="44" spans="1:12" x14ac:dyDescent="0.25">
      <c r="A44" s="74"/>
      <c r="B44" s="22"/>
      <c r="C44" s="53" t="s">
        <v>36</v>
      </c>
      <c r="D44" s="18" t="s">
        <v>32</v>
      </c>
      <c r="E44" s="75">
        <v>0.37046791956066843</v>
      </c>
      <c r="F44" s="75">
        <v>0.73677340932757318</v>
      </c>
      <c r="G44" s="75">
        <v>0.80543894470342625</v>
      </c>
      <c r="H44" s="75">
        <v>0.84649287994037692</v>
      </c>
      <c r="I44" s="75">
        <v>0.84837465136064494</v>
      </c>
      <c r="J44" s="75">
        <f t="shared" si="4"/>
        <v>2.2230209666980194E-3</v>
      </c>
      <c r="K44" s="54">
        <f>(I44-H44)*100</f>
        <v>0.18817714202680191</v>
      </c>
      <c r="L44" s="21"/>
    </row>
    <row r="45" spans="1:12" x14ac:dyDescent="0.25">
      <c r="B45" s="22"/>
      <c r="C45" s="55"/>
      <c r="D45" s="24" t="s">
        <v>33</v>
      </c>
      <c r="E45" s="76">
        <v>0.51782232288239516</v>
      </c>
      <c r="F45" s="76">
        <v>0.8395611797955882</v>
      </c>
      <c r="G45" s="76">
        <v>0.91100287749606923</v>
      </c>
      <c r="H45" s="76">
        <v>0.96316132845180258</v>
      </c>
      <c r="I45" s="76">
        <v>0.94942281693070341</v>
      </c>
      <c r="J45" s="76">
        <f t="shared" si="4"/>
        <v>-1.4263977503314651E-2</v>
      </c>
      <c r="K45" s="56">
        <f>(I45-H45)*100</f>
        <v>-1.3738511521099173</v>
      </c>
      <c r="L45" s="27"/>
    </row>
    <row r="46" spans="1:12" x14ac:dyDescent="0.25">
      <c r="B46" s="22"/>
      <c r="C46" s="57"/>
      <c r="D46" s="29" t="s">
        <v>34</v>
      </c>
      <c r="E46" s="77">
        <v>0.1615110152460317</v>
      </c>
      <c r="F46" s="77">
        <v>0.44248642923341719</v>
      </c>
      <c r="G46" s="77">
        <v>0.50810053400414845</v>
      </c>
      <c r="H46" s="77">
        <v>0.51230102893325125</v>
      </c>
      <c r="I46" s="77">
        <v>0.5725514439636139</v>
      </c>
      <c r="J46" s="31">
        <f>IFERROR(I46/H46-1,"-")</f>
        <v>0.11760744489586572</v>
      </c>
      <c r="K46" s="30">
        <f>IFERROR(I46-H46,"-")</f>
        <v>6.0250415030362658E-2</v>
      </c>
      <c r="L46" s="58"/>
    </row>
    <row r="47" spans="1:12" x14ac:dyDescent="0.25">
      <c r="B47" s="22"/>
      <c r="C47" s="78"/>
      <c r="D47" s="24"/>
      <c r="E47" s="79"/>
      <c r="F47" s="79"/>
      <c r="G47" s="79"/>
      <c r="H47" s="79"/>
      <c r="I47" s="79"/>
      <c r="J47" s="80"/>
      <c r="K47" s="68"/>
      <c r="L47" s="81"/>
    </row>
    <row r="48" spans="1:12" x14ac:dyDescent="0.25">
      <c r="B48" s="22"/>
      <c r="C48" s="78"/>
      <c r="D48" s="24"/>
      <c r="E48" s="79"/>
      <c r="F48" s="79"/>
      <c r="G48" s="79"/>
      <c r="H48" s="79"/>
      <c r="I48" s="79"/>
      <c r="J48" s="80"/>
      <c r="K48" s="68"/>
      <c r="L48" s="81"/>
    </row>
    <row r="49" spans="2:12" x14ac:dyDescent="0.25">
      <c r="B49" s="22"/>
      <c r="C49" s="59" t="s">
        <v>39</v>
      </c>
      <c r="D49" s="33" t="s">
        <v>32</v>
      </c>
      <c r="E49" s="69">
        <v>3719.3333333333335</v>
      </c>
      <c r="F49" s="69">
        <v>6412.666666666667</v>
      </c>
      <c r="G49" s="69">
        <v>6335.666666666667</v>
      </c>
      <c r="H49" s="69">
        <v>6415</v>
      </c>
      <c r="I49" s="69">
        <v>6497</v>
      </c>
      <c r="J49" s="45">
        <f>I49/H49-1</f>
        <v>1.278254091971931E-2</v>
      </c>
      <c r="K49" s="34">
        <f>I49-H49</f>
        <v>82</v>
      </c>
      <c r="L49" s="47">
        <f>I49/$I$22</f>
        <v>1</v>
      </c>
    </row>
    <row r="50" spans="2:12" x14ac:dyDescent="0.25">
      <c r="B50" s="22"/>
      <c r="C50" s="36"/>
      <c r="D50" s="4" t="s">
        <v>33</v>
      </c>
      <c r="E50" s="70">
        <v>2178</v>
      </c>
      <c r="F50" s="70">
        <v>4752.666666666667</v>
      </c>
      <c r="G50" s="70">
        <v>4675.666666666667</v>
      </c>
      <c r="H50" s="70">
        <v>4755</v>
      </c>
      <c r="I50" s="70">
        <v>4755</v>
      </c>
      <c r="J50" s="49">
        <f>I50/H50-1</f>
        <v>0</v>
      </c>
      <c r="K50" s="37">
        <f>I50-H50</f>
        <v>0</v>
      </c>
      <c r="L50" s="51">
        <f>I50/$I$22</f>
        <v>0.73187625057718952</v>
      </c>
    </row>
    <row r="51" spans="2:12" x14ac:dyDescent="0.25">
      <c r="B51" s="61"/>
      <c r="C51" s="40"/>
      <c r="D51" s="41" t="s">
        <v>34</v>
      </c>
      <c r="E51" s="42">
        <v>1541.3333333333333</v>
      </c>
      <c r="F51" s="42">
        <v>1660</v>
      </c>
      <c r="G51" s="42">
        <v>1660</v>
      </c>
      <c r="H51" s="42">
        <v>1660</v>
      </c>
      <c r="I51" s="42">
        <v>1742</v>
      </c>
      <c r="J51" s="43">
        <f>IFERROR(I51/H51-1,"-")</f>
        <v>4.9397590361445864E-2</v>
      </c>
      <c r="K51" s="42">
        <f>IFERROR(I51-H51,"-")</f>
        <v>82</v>
      </c>
      <c r="L51" s="43">
        <f>IFERROR(I51/I49,"-")</f>
        <v>0.26812374942281053</v>
      </c>
    </row>
    <row r="52" spans="2:12" ht="6" customHeight="1" x14ac:dyDescent="0.25"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4"/>
    </row>
    <row r="53" spans="2:12" ht="28.5" customHeight="1" x14ac:dyDescent="0.25">
      <c r="B53" s="65" t="s">
        <v>40</v>
      </c>
      <c r="C53" s="66"/>
      <c r="D53" s="66"/>
      <c r="E53" s="66"/>
      <c r="F53" s="66"/>
      <c r="G53" s="66"/>
      <c r="H53" s="66"/>
      <c r="I53" s="66"/>
      <c r="J53" s="66"/>
      <c r="K53" s="66"/>
    </row>
    <row r="54" spans="2:12" x14ac:dyDescent="0.25">
      <c r="B54" s="82"/>
    </row>
    <row r="56" spans="2:12" ht="21.75" thickBot="1" x14ac:dyDescent="0.3">
      <c r="B56" s="12" t="s">
        <v>227</v>
      </c>
      <c r="C56" s="12"/>
      <c r="D56" s="12"/>
      <c r="E56" s="12"/>
      <c r="F56" s="12"/>
      <c r="G56" s="12"/>
      <c r="H56" s="12"/>
      <c r="I56" s="12"/>
      <c r="J56" s="12"/>
      <c r="K56" s="12"/>
      <c r="L56" s="13"/>
    </row>
    <row r="57" spans="2:12" ht="15.75" thickBot="1" x14ac:dyDescent="0.3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2:12" x14ac:dyDescent="0.25">
      <c r="B58" s="4"/>
      <c r="C58" s="4"/>
      <c r="D58" s="4"/>
      <c r="E58" s="15">
        <v>2020</v>
      </c>
      <c r="F58" s="15">
        <v>2021</v>
      </c>
      <c r="G58" s="15">
        <v>2022</v>
      </c>
      <c r="H58" s="15">
        <v>2023</v>
      </c>
      <c r="I58" s="15">
        <v>2024</v>
      </c>
      <c r="J58" s="15" t="str">
        <f>CONCATENATE("var. ",RIGHT(I58,2),"/",RIGHT(H58,2))</f>
        <v>var. 24/23</v>
      </c>
      <c r="K58" s="15" t="str">
        <f>CONCATENATE("dif. ",RIGHT(I58,2),"/",RIGHT(H58,2))</f>
        <v>dif. 24/23</v>
      </c>
      <c r="L58" s="15" t="str">
        <f>CONCATENATE("cuota ",I58)</f>
        <v>cuota 2024</v>
      </c>
    </row>
    <row r="59" spans="2:12" x14ac:dyDescent="0.25">
      <c r="B59" s="22"/>
      <c r="C59" s="23"/>
      <c r="D59" s="24" t="s">
        <v>33</v>
      </c>
      <c r="E59" s="68">
        <v>77095</v>
      </c>
      <c r="F59" s="68">
        <v>116590</v>
      </c>
      <c r="G59" s="68">
        <v>211298</v>
      </c>
      <c r="H59" s="68">
        <v>229046</v>
      </c>
      <c r="I59" s="68">
        <v>235930</v>
      </c>
      <c r="J59" s="26">
        <f t="shared" ref="J59:J74" si="8">I59/H59-1</f>
        <v>3.0055098102564459E-2</v>
      </c>
      <c r="K59" s="25">
        <f t="shared" ref="K59:K74" si="9">I59-H59</f>
        <v>6884</v>
      </c>
      <c r="L59" s="26" t="e">
        <f>I59/#REF!</f>
        <v>#REF!</v>
      </c>
    </row>
    <row r="60" spans="2:12" x14ac:dyDescent="0.25">
      <c r="B60" s="22"/>
      <c r="C60" s="28"/>
      <c r="D60" s="29" t="s">
        <v>34</v>
      </c>
      <c r="E60" s="30">
        <v>19586</v>
      </c>
      <c r="F60" s="30">
        <v>23756</v>
      </c>
      <c r="G60" s="30">
        <v>45819</v>
      </c>
      <c r="H60" s="30">
        <v>49548</v>
      </c>
      <c r="I60" s="30">
        <v>51880</v>
      </c>
      <c r="J60" s="31">
        <f>IFERROR(I60/H60-1,"-")</f>
        <v>4.7065471865665565E-2</v>
      </c>
      <c r="K60" s="30">
        <f>IFERROR(I60-H60,"-")</f>
        <v>2332</v>
      </c>
      <c r="L60" s="31" t="str">
        <f>IFERROR(I60/#REF!,"-")</f>
        <v>-</v>
      </c>
    </row>
    <row r="61" spans="2:12" x14ac:dyDescent="0.25">
      <c r="B61" s="22"/>
      <c r="C61" s="32" t="s">
        <v>35</v>
      </c>
      <c r="D61" s="33" t="s">
        <v>32</v>
      </c>
      <c r="E61" s="69">
        <v>96681</v>
      </c>
      <c r="F61" s="69">
        <v>140346</v>
      </c>
      <c r="G61" s="69">
        <v>257117</v>
      </c>
      <c r="H61" s="69">
        <v>278594</v>
      </c>
      <c r="I61" s="69">
        <v>287810</v>
      </c>
      <c r="J61" s="45">
        <f t="shared" si="8"/>
        <v>3.3080396562739978E-2</v>
      </c>
      <c r="K61" s="69">
        <f t="shared" si="9"/>
        <v>9216</v>
      </c>
      <c r="L61" s="45">
        <f>I61/$I$61</f>
        <v>1</v>
      </c>
    </row>
    <row r="62" spans="2:12" x14ac:dyDescent="0.25">
      <c r="B62" s="22"/>
      <c r="C62" s="36"/>
      <c r="D62" s="4" t="s">
        <v>33</v>
      </c>
      <c r="E62" s="70">
        <v>77095</v>
      </c>
      <c r="F62" s="70">
        <v>116590</v>
      </c>
      <c r="G62" s="70">
        <v>211298</v>
      </c>
      <c r="H62" s="70">
        <v>229046</v>
      </c>
      <c r="I62" s="70">
        <v>235930</v>
      </c>
      <c r="J62" s="49">
        <f t="shared" si="8"/>
        <v>3.0055098102564459E-2</v>
      </c>
      <c r="K62" s="70">
        <f t="shared" si="9"/>
        <v>6884</v>
      </c>
      <c r="L62" s="49">
        <f t="shared" ref="L62" si="10">I62/$I$61</f>
        <v>0.81974219102880375</v>
      </c>
    </row>
    <row r="63" spans="2:12" x14ac:dyDescent="0.25">
      <c r="B63" s="22"/>
      <c r="C63" s="40"/>
      <c r="D63" s="41" t="s">
        <v>34</v>
      </c>
      <c r="E63" s="42">
        <v>19586</v>
      </c>
      <c r="F63" s="42">
        <v>23756</v>
      </c>
      <c r="G63" s="42">
        <v>45819</v>
      </c>
      <c r="H63" s="42">
        <v>49548</v>
      </c>
      <c r="I63" s="42">
        <v>51880</v>
      </c>
      <c r="J63" s="43">
        <f>IFERROR(I63/H63-1,"-")</f>
        <v>4.7065471865665565E-2</v>
      </c>
      <c r="K63" s="42">
        <f>IFERROR(I63-H63,"-")</f>
        <v>2332</v>
      </c>
      <c r="L63" s="83">
        <f>IFERROR(I63/I61,"-")</f>
        <v>0.18025780897119628</v>
      </c>
    </row>
    <row r="64" spans="2:12" x14ac:dyDescent="0.25">
      <c r="B64" s="22"/>
      <c r="C64" s="17" t="s">
        <v>21</v>
      </c>
      <c r="D64" s="18" t="s">
        <v>32</v>
      </c>
      <c r="E64" s="67">
        <v>610766</v>
      </c>
      <c r="F64" s="67">
        <v>774989</v>
      </c>
      <c r="G64" s="67">
        <v>1753117</v>
      </c>
      <c r="H64" s="67">
        <v>1886738</v>
      </c>
      <c r="I64" s="67">
        <v>1988780</v>
      </c>
      <c r="J64" s="20">
        <f t="shared" si="8"/>
        <v>5.4083820859069931E-2</v>
      </c>
      <c r="K64" s="19">
        <f t="shared" si="9"/>
        <v>102042</v>
      </c>
      <c r="L64" s="20">
        <f>I64/$I$64</f>
        <v>1</v>
      </c>
    </row>
    <row r="65" spans="2:12" x14ac:dyDescent="0.25">
      <c r="B65" s="22"/>
      <c r="C65" s="23"/>
      <c r="D65" s="24" t="s">
        <v>33</v>
      </c>
      <c r="E65" s="68">
        <v>473644</v>
      </c>
      <c r="F65" s="68">
        <v>638416</v>
      </c>
      <c r="G65" s="68">
        <v>1472596</v>
      </c>
      <c r="H65" s="68">
        <v>1569863</v>
      </c>
      <c r="I65" s="68">
        <v>1666380</v>
      </c>
      <c r="J65" s="26">
        <f t="shared" si="8"/>
        <v>6.1481161094949055E-2</v>
      </c>
      <c r="K65" s="25">
        <f t="shared" si="9"/>
        <v>96517</v>
      </c>
      <c r="L65" s="26">
        <f t="shared" ref="L65" si="11">I65/$I$64</f>
        <v>0.83789056607568457</v>
      </c>
    </row>
    <row r="66" spans="2:12" x14ac:dyDescent="0.25">
      <c r="B66" s="22"/>
      <c r="C66" s="28"/>
      <c r="D66" s="29" t="s">
        <v>34</v>
      </c>
      <c r="E66" s="30">
        <v>137122</v>
      </c>
      <c r="F66" s="30">
        <v>136573</v>
      </c>
      <c r="G66" s="30">
        <v>280521</v>
      </c>
      <c r="H66" s="30">
        <v>316875</v>
      </c>
      <c r="I66" s="30">
        <v>322400</v>
      </c>
      <c r="J66" s="31">
        <f>IFERROR(I66/H66-1,"-")</f>
        <v>1.7435897435897463E-2</v>
      </c>
      <c r="K66" s="30">
        <f>IFERROR(I66-H66,"-")</f>
        <v>5525</v>
      </c>
      <c r="L66" s="31">
        <f>IFERROR(I66/I64,"-")</f>
        <v>0.1621094339243154</v>
      </c>
    </row>
    <row r="67" spans="2:12" x14ac:dyDescent="0.25">
      <c r="B67" s="22"/>
      <c r="C67" s="32" t="s">
        <v>22</v>
      </c>
      <c r="D67" s="33" t="s">
        <v>32</v>
      </c>
      <c r="E67" s="71">
        <v>6.3173322576307651</v>
      </c>
      <c r="F67" s="71">
        <v>5.5219885141008653</v>
      </c>
      <c r="G67" s="71">
        <v>6.81836284648623</v>
      </c>
      <c r="H67" s="71">
        <v>6.7723569064660403</v>
      </c>
      <c r="I67" s="71">
        <v>6.910044821236232</v>
      </c>
      <c r="J67" s="45">
        <f t="shared" si="8"/>
        <v>2.0330871020505681E-2</v>
      </c>
      <c r="K67" s="46">
        <f t="shared" si="9"/>
        <v>0.13768791477019171</v>
      </c>
      <c r="L67" s="45"/>
    </row>
    <row r="68" spans="2:12" x14ac:dyDescent="0.25">
      <c r="B68" s="22"/>
      <c r="C68" s="36"/>
      <c r="D68" s="4" t="s">
        <v>33</v>
      </c>
      <c r="E68" s="72">
        <f t="shared" ref="E68:I68" si="12">E65/E59</f>
        <v>6.1436409624489263</v>
      </c>
      <c r="F68" s="72">
        <f t="shared" si="12"/>
        <v>5.4757354833176084</v>
      </c>
      <c r="G68" s="72">
        <f t="shared" si="12"/>
        <v>6.9692850855190303</v>
      </c>
      <c r="H68" s="72">
        <f t="shared" si="12"/>
        <v>6.8539201732403097</v>
      </c>
      <c r="I68" s="72">
        <f t="shared" si="12"/>
        <v>7.063027169075573</v>
      </c>
      <c r="J68" s="49">
        <f t="shared" si="8"/>
        <v>3.0509108736293422E-2</v>
      </c>
      <c r="K68" s="50">
        <f t="shared" si="9"/>
        <v>0.20910699583526338</v>
      </c>
      <c r="L68" s="49"/>
    </row>
    <row r="69" spans="2:12" x14ac:dyDescent="0.25">
      <c r="B69" s="22"/>
      <c r="C69" s="40"/>
      <c r="D69" s="41" t="s">
        <v>34</v>
      </c>
      <c r="E69" s="52">
        <f>IFERROR(E66/E60,"-")</f>
        <v>7.0010211375472275</v>
      </c>
      <c r="F69" s="52">
        <f t="shared" ref="F69:I69" si="13">IFERROR(F66/F60,"-")</f>
        <v>5.7489897289105913</v>
      </c>
      <c r="G69" s="52">
        <f t="shared" si="13"/>
        <v>6.1223728147711647</v>
      </c>
      <c r="H69" s="52">
        <f t="shared" si="13"/>
        <v>6.3953136352627755</v>
      </c>
      <c r="I69" s="52">
        <f t="shared" si="13"/>
        <v>6.214340786430224</v>
      </c>
      <c r="J69" s="43">
        <f>IFERROR(I69/H69-1,"-")</f>
        <v>-2.8297728485854878E-2</v>
      </c>
      <c r="K69" s="42">
        <f>IFERROR(I69-H69,"-")</f>
        <v>-0.18097284883255149</v>
      </c>
      <c r="L69" s="83">
        <f>IFERROR(I69/I67,"-")</f>
        <v>0.89931989548491176</v>
      </c>
    </row>
    <row r="70" spans="2:12" x14ac:dyDescent="0.25">
      <c r="B70" s="22"/>
      <c r="C70" s="53" t="s">
        <v>36</v>
      </c>
      <c r="D70" s="18" t="s">
        <v>32</v>
      </c>
      <c r="E70" s="75">
        <v>0.49125694136118242</v>
      </c>
      <c r="F70" s="75">
        <v>0.48201408869433904</v>
      </c>
      <c r="G70" s="75">
        <v>0.74892677369097149</v>
      </c>
      <c r="H70" s="75">
        <v>0.81331329152256404</v>
      </c>
      <c r="I70" s="75">
        <v>0.84524916570756325</v>
      </c>
      <c r="J70" s="75">
        <f t="shared" si="8"/>
        <v>3.9266386665357089E-2</v>
      </c>
      <c r="K70" s="54">
        <f t="shared" si="9"/>
        <v>3.1935874184999213E-2</v>
      </c>
      <c r="L70" s="20"/>
    </row>
    <row r="71" spans="2:12" x14ac:dyDescent="0.25">
      <c r="B71" s="22"/>
      <c r="C71" s="55"/>
      <c r="D71" s="24" t="s">
        <v>33</v>
      </c>
      <c r="E71" s="76">
        <v>0.58674350442618195</v>
      </c>
      <c r="F71" s="76">
        <v>0.61734478770601819</v>
      </c>
      <c r="G71" s="76">
        <v>0.84878834356712252</v>
      </c>
      <c r="H71" s="76">
        <v>0.9159504223366709</v>
      </c>
      <c r="I71" s="76">
        <v>0.95750805881643142</v>
      </c>
      <c r="J71" s="76">
        <f t="shared" si="8"/>
        <v>4.5371054443911207E-2</v>
      </c>
      <c r="K71" s="56">
        <f t="shared" si="9"/>
        <v>4.1557636479760518E-2</v>
      </c>
      <c r="L71" s="26"/>
    </row>
    <row r="72" spans="2:12" x14ac:dyDescent="0.25">
      <c r="B72" s="22"/>
      <c r="C72" s="57"/>
      <c r="D72" s="29" t="s">
        <v>34</v>
      </c>
      <c r="E72" s="77">
        <v>0.3144783615806252</v>
      </c>
      <c r="F72" s="77">
        <v>0.2380639448335489</v>
      </c>
      <c r="G72" s="77">
        <v>0.46298234032018487</v>
      </c>
      <c r="H72" s="77">
        <v>0.52298234032018487</v>
      </c>
      <c r="I72" s="77">
        <v>0.52631407106545947</v>
      </c>
      <c r="J72" s="31">
        <f>IFERROR(I72/H72-1,"-")</f>
        <v>6.3706371867831013E-3</v>
      </c>
      <c r="K72" s="30">
        <f>IFERROR(I72-H72,"-")</f>
        <v>3.331730745274597E-3</v>
      </c>
      <c r="L72" s="31">
        <f>IFERROR(I72/I70,"-")</f>
        <v>0.62267328075370387</v>
      </c>
    </row>
    <row r="73" spans="2:12" x14ac:dyDescent="0.25">
      <c r="B73" s="22"/>
      <c r="C73" s="59" t="s">
        <v>41</v>
      </c>
      <c r="D73" s="33" t="s">
        <v>32</v>
      </c>
      <c r="E73" s="69">
        <v>3786</v>
      </c>
      <c r="F73" s="69">
        <v>4393</v>
      </c>
      <c r="G73" s="69">
        <v>6413</v>
      </c>
      <c r="H73" s="69">
        <v>6356</v>
      </c>
      <c r="I73" s="69">
        <v>6429</v>
      </c>
      <c r="J73" s="45">
        <f t="shared" si="8"/>
        <v>1.1485210824417891E-2</v>
      </c>
      <c r="K73" s="34">
        <f t="shared" si="9"/>
        <v>73</v>
      </c>
      <c r="L73" s="45">
        <f>I73/$I$73</f>
        <v>1</v>
      </c>
    </row>
    <row r="74" spans="2:12" x14ac:dyDescent="0.25">
      <c r="B74" s="22"/>
      <c r="C74" s="36"/>
      <c r="D74" s="4" t="s">
        <v>33</v>
      </c>
      <c r="E74" s="70">
        <v>2472</v>
      </c>
      <c r="F74" s="70">
        <v>2822</v>
      </c>
      <c r="G74" s="70">
        <v>4753</v>
      </c>
      <c r="H74" s="70">
        <v>4696</v>
      </c>
      <c r="I74" s="70">
        <v>4755</v>
      </c>
      <c r="J74" s="49">
        <f t="shared" si="8"/>
        <v>1.2563884156729044E-2</v>
      </c>
      <c r="K74" s="37">
        <f t="shared" si="9"/>
        <v>59</v>
      </c>
      <c r="L74" s="49">
        <f t="shared" ref="L74" si="14">I74/$I$73</f>
        <v>0.73961735884274382</v>
      </c>
    </row>
    <row r="75" spans="2:12" x14ac:dyDescent="0.25">
      <c r="B75" s="61"/>
      <c r="C75" s="40"/>
      <c r="D75" s="41" t="s">
        <v>34</v>
      </c>
      <c r="E75" s="42">
        <v>1314</v>
      </c>
      <c r="F75" s="42">
        <v>1571</v>
      </c>
      <c r="G75" s="42">
        <v>1660</v>
      </c>
      <c r="H75" s="42">
        <v>1660</v>
      </c>
      <c r="I75" s="42">
        <v>1674</v>
      </c>
      <c r="J75" s="43">
        <f>IFERROR(I75/H75-1,"-")</f>
        <v>8.4337349397589634E-3</v>
      </c>
      <c r="K75" s="42">
        <f>IFERROR(I75-H75,"-")</f>
        <v>14</v>
      </c>
      <c r="L75" s="83">
        <f>IFERROR(I75/I73,"-")</f>
        <v>0.26038264115725618</v>
      </c>
    </row>
    <row r="76" spans="2:12" x14ac:dyDescent="0.25"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4"/>
    </row>
    <row r="77" spans="2:12" ht="27" customHeight="1" x14ac:dyDescent="0.25">
      <c r="B77" s="65" t="s">
        <v>38</v>
      </c>
      <c r="C77" s="66"/>
      <c r="D77" s="66"/>
      <c r="E77" s="66"/>
      <c r="F77" s="66"/>
      <c r="G77" s="66"/>
      <c r="H77" s="66"/>
      <c r="I77" s="66"/>
      <c r="J77" s="66"/>
      <c r="K77" s="66"/>
    </row>
  </sheetData>
  <mergeCells count="30">
    <mergeCell ref="B76:K76"/>
    <mergeCell ref="B77:K77"/>
    <mergeCell ref="B52:K52"/>
    <mergeCell ref="B53:K53"/>
    <mergeCell ref="B56:K56"/>
    <mergeCell ref="B59:B75"/>
    <mergeCell ref="C59:C60"/>
    <mergeCell ref="C61:C63"/>
    <mergeCell ref="C64:C66"/>
    <mergeCell ref="C67:C69"/>
    <mergeCell ref="C70:C72"/>
    <mergeCell ref="C73:C75"/>
    <mergeCell ref="B25:K25"/>
    <mergeCell ref="B26:K26"/>
    <mergeCell ref="B29:K29"/>
    <mergeCell ref="B32:B51"/>
    <mergeCell ref="C32:C34"/>
    <mergeCell ref="C35:C37"/>
    <mergeCell ref="C38:C40"/>
    <mergeCell ref="C41:C43"/>
    <mergeCell ref="C44:C46"/>
    <mergeCell ref="C49:C51"/>
    <mergeCell ref="B4:K4"/>
    <mergeCell ref="B7:B24"/>
    <mergeCell ref="C7:C9"/>
    <mergeCell ref="C10:C12"/>
    <mergeCell ref="C13:C15"/>
    <mergeCell ref="C16:C18"/>
    <mergeCell ref="C19:C21"/>
    <mergeCell ref="C22:C24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1A49F-F091-4050-80D3-2AA7F54AAB10}">
  <sheetPr>
    <tabColor rgb="FFFFC000"/>
  </sheetPr>
  <dimension ref="A4:A24"/>
  <sheetViews>
    <sheetView showGridLines="0" workbookViewId="0">
      <selection activeCell="G10" sqref="G10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C7B63-2444-49DC-A64D-A4CB6CA30A5F}">
  <sheetPr>
    <tabColor rgb="FFFFC000"/>
  </sheetPr>
  <dimension ref="A1:V164"/>
  <sheetViews>
    <sheetView showGridLines="0" workbookViewId="0">
      <selection activeCell="G10" sqref="G10"/>
    </sheetView>
  </sheetViews>
  <sheetFormatPr baseColWidth="10" defaultRowHeight="15" x14ac:dyDescent="0.25"/>
  <cols>
    <col min="1" max="1" width="15.5703125" customWidth="1"/>
    <col min="2" max="2" width="30.140625" customWidth="1"/>
    <col min="3" max="7" width="13.140625" customWidth="1"/>
    <col min="8" max="9" width="13.7109375" customWidth="1"/>
    <col min="11" max="18" width="11.42578125" hidden="1" customWidth="1"/>
  </cols>
  <sheetData>
    <row r="1" spans="1:18" ht="42.75" customHeight="1" x14ac:dyDescent="0.25"/>
    <row r="5" spans="1:18" ht="42" customHeight="1" thickBot="1" x14ac:dyDescent="0.3">
      <c r="B5" s="12" t="str">
        <f>CONCATENATE("Viajeros alojados en los establecimientos alojativos de según lugar de residencia y municipio de alojamiento (hotel + apartamento)")</f>
        <v>Viajeros alojados en los establecimientos alojativos de según lugar de residencia y municipio de alojamiento (hotel + apartamento)</v>
      </c>
      <c r="C5" s="12"/>
      <c r="D5" s="12"/>
      <c r="E5" s="12"/>
      <c r="F5" s="12"/>
      <c r="G5" s="12"/>
      <c r="H5" s="12"/>
      <c r="I5" s="12"/>
      <c r="K5" s="12" t="s">
        <v>273</v>
      </c>
      <c r="L5" s="12"/>
      <c r="M5" s="12"/>
      <c r="N5" s="12"/>
      <c r="O5" s="12"/>
      <c r="P5" s="12"/>
      <c r="Q5" s="12"/>
      <c r="R5" s="12"/>
    </row>
    <row r="6" spans="1:18" ht="6" customHeight="1" x14ac:dyDescent="0.25"/>
    <row r="7" spans="1:18" ht="15.75" x14ac:dyDescent="0.25">
      <c r="B7" s="174"/>
      <c r="C7" s="203" t="s">
        <v>45</v>
      </c>
      <c r="D7" s="204"/>
      <c r="E7" s="204"/>
      <c r="F7" s="204"/>
      <c r="G7" s="204"/>
      <c r="H7" s="204"/>
      <c r="I7" s="204"/>
    </row>
    <row r="8" spans="1:18" s="177" customFormat="1" ht="72" customHeight="1" x14ac:dyDescent="0.25">
      <c r="A8"/>
      <c r="B8" s="219"/>
      <c r="C8" s="205" t="s">
        <v>228</v>
      </c>
      <c r="D8" s="205" t="s">
        <v>229</v>
      </c>
      <c r="E8" s="205" t="s">
        <v>230</v>
      </c>
      <c r="F8" s="205" t="s">
        <v>231</v>
      </c>
      <c r="G8" s="205" t="s">
        <v>232</v>
      </c>
      <c r="H8" s="206" t="str">
        <f>CONCATENATE("var. ",RIGHT(G8,2),"/",RIGHT(F8,2))</f>
        <v>var. 25/24</v>
      </c>
      <c r="I8" s="206" t="str">
        <f>CONCATENATE("Cuota s/ total lugares de residencia ",RIGHT(G8,4))</f>
        <v>Cuota s/ total lugares de residencia 2025</v>
      </c>
      <c r="K8" s="219"/>
      <c r="L8" s="205" t="s">
        <v>228</v>
      </c>
      <c r="M8" s="205" t="s">
        <v>229</v>
      </c>
      <c r="N8" s="205" t="s">
        <v>230</v>
      </c>
      <c r="O8" s="205" t="s">
        <v>231</v>
      </c>
      <c r="P8" s="205" t="s">
        <v>232</v>
      </c>
      <c r="Q8" s="206" t="str">
        <f>CONCATENATE("var. ",RIGHT(P8,2),"/",RIGHT(O8,2))</f>
        <v>var. 25/24</v>
      </c>
      <c r="R8" s="206" t="str">
        <f>CONCATENATE("Cuota s/ total lugares de residencia ",RIGHT(P8,4))</f>
        <v>Cuota s/ total lugares de residencia 2025</v>
      </c>
    </row>
    <row r="9" spans="1:18" x14ac:dyDescent="0.25">
      <c r="B9" s="183" t="s">
        <v>45</v>
      </c>
      <c r="C9" s="184"/>
      <c r="D9" s="184"/>
      <c r="E9" s="184"/>
      <c r="F9" s="184"/>
      <c r="G9" s="184"/>
      <c r="H9" s="185"/>
      <c r="I9" s="185"/>
      <c r="K9" s="186" t="s">
        <v>54</v>
      </c>
      <c r="L9" s="207"/>
      <c r="M9" s="207"/>
      <c r="N9" s="207"/>
      <c r="O9" s="207"/>
      <c r="P9" s="207"/>
      <c r="Q9" s="208"/>
      <c r="R9" s="208"/>
    </row>
    <row r="10" spans="1:18" x14ac:dyDescent="0.25">
      <c r="B10" s="187" t="s">
        <v>70</v>
      </c>
      <c r="C10" s="209">
        <v>325738</v>
      </c>
      <c r="D10" s="209">
        <v>465229</v>
      </c>
      <c r="E10" s="209">
        <v>499749</v>
      </c>
      <c r="F10" s="209">
        <v>518511</v>
      </c>
      <c r="G10" s="209">
        <v>513690</v>
      </c>
      <c r="H10" s="210">
        <f t="shared" ref="H10:H22" si="0">IFERROR(G10/F10-1,"-")</f>
        <v>-9.2977776749191277E-3</v>
      </c>
      <c r="I10" s="210">
        <f t="shared" ref="I10:I22" si="1">G10/G$10</f>
        <v>1</v>
      </c>
      <c r="K10" s="187" t="s">
        <v>70</v>
      </c>
      <c r="L10" s="209">
        <v>17890</v>
      </c>
      <c r="M10" s="209">
        <v>24264</v>
      </c>
      <c r="N10" s="209">
        <v>26447</v>
      </c>
      <c r="O10" s="209">
        <v>25421</v>
      </c>
      <c r="P10" s="209">
        <v>28817</v>
      </c>
      <c r="Q10" s="210">
        <f t="shared" ref="Q10:Q22" si="2">IFERROR(P10/O10-1,"-")</f>
        <v>0.13359033869635351</v>
      </c>
      <c r="R10" s="210">
        <f t="shared" ref="R10:R22" si="3">P10/P$10</f>
        <v>1</v>
      </c>
    </row>
    <row r="11" spans="1:18" x14ac:dyDescent="0.25">
      <c r="B11" s="190" t="s">
        <v>99</v>
      </c>
      <c r="C11" s="191">
        <v>107944</v>
      </c>
      <c r="D11" s="191">
        <v>106792</v>
      </c>
      <c r="E11" s="191">
        <v>113306</v>
      </c>
      <c r="F11" s="191">
        <v>112486</v>
      </c>
      <c r="G11" s="191">
        <v>114874</v>
      </c>
      <c r="H11" s="192">
        <f t="shared" si="0"/>
        <v>2.1229308536173441E-2</v>
      </c>
      <c r="I11" s="192">
        <f t="shared" si="1"/>
        <v>0.22362514356907862</v>
      </c>
      <c r="J11" s="103"/>
      <c r="K11" s="190" t="s">
        <v>99</v>
      </c>
      <c r="L11" s="191">
        <v>5654</v>
      </c>
      <c r="M11" s="191">
        <v>3786</v>
      </c>
      <c r="N11" s="191">
        <v>3753</v>
      </c>
      <c r="O11" s="191">
        <v>3212</v>
      </c>
      <c r="P11" s="191">
        <v>6104</v>
      </c>
      <c r="Q11" s="192">
        <f t="shared" si="2"/>
        <v>0.90037359900373604</v>
      </c>
      <c r="R11" s="192">
        <f t="shared" si="3"/>
        <v>0.21181941215254885</v>
      </c>
    </row>
    <row r="12" spans="1:18" x14ac:dyDescent="0.25">
      <c r="B12" s="194" t="s">
        <v>105</v>
      </c>
      <c r="C12" s="195">
        <v>46433</v>
      </c>
      <c r="D12" s="195">
        <v>39705</v>
      </c>
      <c r="E12" s="195">
        <v>48831</v>
      </c>
      <c r="F12" s="195">
        <v>44712</v>
      </c>
      <c r="G12" s="195">
        <v>46724</v>
      </c>
      <c r="H12" s="196">
        <f t="shared" si="0"/>
        <v>4.4999105385578719E-2</v>
      </c>
      <c r="I12" s="196">
        <f t="shared" si="1"/>
        <v>9.0957581420701206E-2</v>
      </c>
      <c r="J12" s="103"/>
      <c r="K12" s="194" t="s">
        <v>105</v>
      </c>
      <c r="L12" s="195">
        <v>4018</v>
      </c>
      <c r="M12" s="195">
        <v>2710</v>
      </c>
      <c r="N12" s="195">
        <v>2511</v>
      </c>
      <c r="O12" s="195">
        <v>1803</v>
      </c>
      <c r="P12" s="195">
        <v>3972</v>
      </c>
      <c r="Q12" s="196">
        <f t="shared" si="2"/>
        <v>1.2029950083194674</v>
      </c>
      <c r="R12" s="196">
        <f t="shared" si="3"/>
        <v>0.13783530554880799</v>
      </c>
    </row>
    <row r="13" spans="1:18" x14ac:dyDescent="0.25">
      <c r="B13" s="194" t="s">
        <v>102</v>
      </c>
      <c r="C13" s="195">
        <v>61511</v>
      </c>
      <c r="D13" s="195">
        <v>67087</v>
      </c>
      <c r="E13" s="195">
        <v>64475</v>
      </c>
      <c r="F13" s="195">
        <v>67774</v>
      </c>
      <c r="G13" s="195">
        <v>68150</v>
      </c>
      <c r="H13" s="196">
        <f t="shared" si="0"/>
        <v>5.5478502080443803E-3</v>
      </c>
      <c r="I13" s="196">
        <f t="shared" si="1"/>
        <v>0.13266756214837744</v>
      </c>
      <c r="J13" s="103"/>
      <c r="K13" s="194" t="s">
        <v>102</v>
      </c>
      <c r="L13" s="195">
        <v>1636</v>
      </c>
      <c r="M13" s="195">
        <v>1076</v>
      </c>
      <c r="N13" s="195">
        <v>1242</v>
      </c>
      <c r="O13" s="195">
        <v>1409</v>
      </c>
      <c r="P13" s="195">
        <v>2132</v>
      </c>
      <c r="Q13" s="196">
        <f t="shared" si="2"/>
        <v>0.51312987934705467</v>
      </c>
      <c r="R13" s="196">
        <f>P13/P$10</f>
        <v>7.3984106603740843E-2</v>
      </c>
    </row>
    <row r="14" spans="1:18" x14ac:dyDescent="0.25">
      <c r="B14" s="190" t="s">
        <v>109</v>
      </c>
      <c r="C14" s="191">
        <v>217794</v>
      </c>
      <c r="D14" s="191">
        <v>358437</v>
      </c>
      <c r="E14" s="191">
        <v>386443</v>
      </c>
      <c r="F14" s="191">
        <v>406025</v>
      </c>
      <c r="G14" s="191">
        <v>398816</v>
      </c>
      <c r="H14" s="192">
        <f t="shared" si="0"/>
        <v>-1.775506434332863E-2</v>
      </c>
      <c r="I14" s="192">
        <f t="shared" si="1"/>
        <v>0.77637485643092141</v>
      </c>
      <c r="J14" s="103"/>
      <c r="K14" s="190" t="s">
        <v>109</v>
      </c>
      <c r="L14" s="191">
        <v>12236</v>
      </c>
      <c r="M14" s="191">
        <v>20478</v>
      </c>
      <c r="N14" s="191">
        <v>22694</v>
      </c>
      <c r="O14" s="191">
        <v>22209</v>
      </c>
      <c r="P14" s="191">
        <v>22713</v>
      </c>
      <c r="Q14" s="192">
        <f t="shared" si="2"/>
        <v>2.2693502634067331E-2</v>
      </c>
      <c r="R14" s="192">
        <f t="shared" si="3"/>
        <v>0.78818058784745115</v>
      </c>
    </row>
    <row r="15" spans="1:18" x14ac:dyDescent="0.25">
      <c r="B15" s="194" t="s">
        <v>112</v>
      </c>
      <c r="C15" s="195">
        <v>77013</v>
      </c>
      <c r="D15" s="195">
        <v>190060</v>
      </c>
      <c r="E15" s="195">
        <v>208939</v>
      </c>
      <c r="F15" s="195">
        <v>216324</v>
      </c>
      <c r="G15" s="195">
        <v>212852</v>
      </c>
      <c r="H15" s="196">
        <f t="shared" si="0"/>
        <v>-1.6049999075460897E-2</v>
      </c>
      <c r="I15" s="196">
        <f t="shared" si="1"/>
        <v>0.41435885456208998</v>
      </c>
      <c r="J15" s="103"/>
      <c r="K15" s="194" t="s">
        <v>112</v>
      </c>
      <c r="L15" s="195">
        <v>3384</v>
      </c>
      <c r="M15" s="195">
        <v>10235</v>
      </c>
      <c r="N15" s="195">
        <v>11415</v>
      </c>
      <c r="O15" s="195">
        <v>11236</v>
      </c>
      <c r="P15" s="195">
        <v>11676</v>
      </c>
      <c r="Q15" s="196">
        <f t="shared" si="2"/>
        <v>3.9159843360626612E-2</v>
      </c>
      <c r="R15" s="196">
        <f t="shared" si="3"/>
        <v>0.40517749939271958</v>
      </c>
    </row>
    <row r="16" spans="1:18" x14ac:dyDescent="0.25">
      <c r="B16" s="194" t="s">
        <v>115</v>
      </c>
      <c r="C16" s="195">
        <v>35334</v>
      </c>
      <c r="D16" s="195">
        <v>35336</v>
      </c>
      <c r="E16" s="195">
        <v>38233</v>
      </c>
      <c r="F16" s="195">
        <v>37362</v>
      </c>
      <c r="G16" s="195">
        <v>36351</v>
      </c>
      <c r="H16" s="196">
        <f t="shared" si="0"/>
        <v>-2.7059579251646038E-2</v>
      </c>
      <c r="I16" s="196">
        <f t="shared" si="1"/>
        <v>7.0764468843076564E-2</v>
      </c>
      <c r="J16" s="103"/>
      <c r="K16" s="194" t="s">
        <v>115</v>
      </c>
      <c r="L16" s="195">
        <v>962</v>
      </c>
      <c r="M16" s="195">
        <v>1370</v>
      </c>
      <c r="N16" s="195">
        <v>1837</v>
      </c>
      <c r="O16" s="195">
        <v>1470</v>
      </c>
      <c r="P16" s="195">
        <v>1795</v>
      </c>
      <c r="Q16" s="196">
        <f t="shared" si="2"/>
        <v>0.22108843537414957</v>
      </c>
      <c r="R16" s="196">
        <f t="shared" si="3"/>
        <v>6.2289620709997572E-2</v>
      </c>
    </row>
    <row r="17" spans="2:22" x14ac:dyDescent="0.25">
      <c r="B17" s="194" t="s">
        <v>118</v>
      </c>
      <c r="C17" s="195">
        <v>11705</v>
      </c>
      <c r="D17" s="195">
        <v>16234</v>
      </c>
      <c r="E17" s="195">
        <v>18305</v>
      </c>
      <c r="F17" s="195">
        <v>17983</v>
      </c>
      <c r="G17" s="195">
        <v>18896</v>
      </c>
      <c r="H17" s="196">
        <f t="shared" si="0"/>
        <v>5.0770171828949495E-2</v>
      </c>
      <c r="I17" s="196">
        <f t="shared" si="1"/>
        <v>3.6784831318499481E-2</v>
      </c>
      <c r="J17" s="103"/>
      <c r="K17" s="194" t="s">
        <v>118</v>
      </c>
      <c r="L17" s="195">
        <v>1404</v>
      </c>
      <c r="M17" s="195">
        <v>1920</v>
      </c>
      <c r="N17" s="195">
        <v>2346</v>
      </c>
      <c r="O17" s="195">
        <v>1937</v>
      </c>
      <c r="P17" s="195">
        <v>1941</v>
      </c>
      <c r="Q17" s="196">
        <f t="shared" si="2"/>
        <v>2.0650490449147796E-3</v>
      </c>
      <c r="R17" s="196">
        <f t="shared" si="3"/>
        <v>6.7356074539334426E-2</v>
      </c>
    </row>
    <row r="18" spans="2:22" x14ac:dyDescent="0.25">
      <c r="B18" s="194" t="s">
        <v>125</v>
      </c>
      <c r="C18" s="195">
        <v>16171</v>
      </c>
      <c r="D18" s="195">
        <v>17018</v>
      </c>
      <c r="E18" s="195">
        <v>17333</v>
      </c>
      <c r="F18" s="195">
        <v>16397</v>
      </c>
      <c r="G18" s="195">
        <v>16013</v>
      </c>
      <c r="H18" s="196">
        <f t="shared" si="0"/>
        <v>-2.3418918094773478E-2</v>
      </c>
      <c r="I18" s="196">
        <f t="shared" si="1"/>
        <v>3.1172497031283459E-2</v>
      </c>
      <c r="J18" s="103"/>
      <c r="K18" s="194" t="s">
        <v>125</v>
      </c>
      <c r="L18" s="195">
        <v>724</v>
      </c>
      <c r="M18" s="195">
        <v>961</v>
      </c>
      <c r="N18" s="195">
        <v>1021</v>
      </c>
      <c r="O18" s="195">
        <v>533</v>
      </c>
      <c r="P18" s="195">
        <v>535</v>
      </c>
      <c r="Q18" s="196">
        <f t="shared" si="2"/>
        <v>3.7523452157599557E-3</v>
      </c>
      <c r="R18" s="196">
        <f t="shared" si="3"/>
        <v>1.8565430128049416E-2</v>
      </c>
    </row>
    <row r="19" spans="2:22" x14ac:dyDescent="0.25">
      <c r="B19" s="194" t="s">
        <v>121</v>
      </c>
      <c r="C19" s="195">
        <v>14403</v>
      </c>
      <c r="D19" s="195">
        <v>12868</v>
      </c>
      <c r="E19" s="195">
        <v>13370</v>
      </c>
      <c r="F19" s="195">
        <v>13293</v>
      </c>
      <c r="G19" s="195">
        <v>13367</v>
      </c>
      <c r="H19" s="196">
        <f t="shared" si="0"/>
        <v>5.5668396900623307E-3</v>
      </c>
      <c r="I19" s="196">
        <f t="shared" si="1"/>
        <v>2.6021530495045651E-2</v>
      </c>
      <c r="J19" s="103"/>
      <c r="K19" s="194" t="s">
        <v>121</v>
      </c>
      <c r="L19" s="195">
        <v>592</v>
      </c>
      <c r="M19" s="195">
        <v>363</v>
      </c>
      <c r="N19" s="195">
        <v>402</v>
      </c>
      <c r="O19" s="195">
        <v>269</v>
      </c>
      <c r="P19" s="195">
        <v>261</v>
      </c>
      <c r="Q19" s="196">
        <f t="shared" si="2"/>
        <v>-2.9739776951672847E-2</v>
      </c>
      <c r="R19" s="196">
        <f t="shared" si="3"/>
        <v>9.0571537634035471E-3</v>
      </c>
    </row>
    <row r="20" spans="2:22" x14ac:dyDescent="0.25">
      <c r="B20" s="194" t="s">
        <v>130</v>
      </c>
      <c r="C20" s="195">
        <v>1052</v>
      </c>
      <c r="D20" s="195">
        <v>1557</v>
      </c>
      <c r="E20" s="195">
        <v>1535</v>
      </c>
      <c r="F20" s="195">
        <v>1846</v>
      </c>
      <c r="G20" s="195">
        <v>1592</v>
      </c>
      <c r="H20" s="196">
        <f t="shared" si="0"/>
        <v>-0.13759479956663057</v>
      </c>
      <c r="I20" s="196">
        <f t="shared" si="1"/>
        <v>3.099145398976036E-3</v>
      </c>
      <c r="J20" s="103"/>
      <c r="K20" s="194" t="s">
        <v>130</v>
      </c>
      <c r="L20" s="195">
        <v>3</v>
      </c>
      <c r="M20" s="195">
        <v>22</v>
      </c>
      <c r="N20" s="195">
        <v>12</v>
      </c>
      <c r="O20" s="195">
        <v>12</v>
      </c>
      <c r="P20" s="195">
        <v>22</v>
      </c>
      <c r="Q20" s="196">
        <f t="shared" si="2"/>
        <v>0.83333333333333326</v>
      </c>
      <c r="R20" s="196">
        <f t="shared" si="3"/>
        <v>7.6343824825623769E-4</v>
      </c>
    </row>
    <row r="21" spans="2:22" x14ac:dyDescent="0.25">
      <c r="B21" s="194" t="s">
        <v>133</v>
      </c>
      <c r="C21" s="195">
        <v>320</v>
      </c>
      <c r="D21" s="195">
        <v>821</v>
      </c>
      <c r="E21" s="195">
        <v>1131</v>
      </c>
      <c r="F21" s="195">
        <v>638</v>
      </c>
      <c r="G21" s="195">
        <v>455</v>
      </c>
      <c r="H21" s="196">
        <f t="shared" si="0"/>
        <v>-0.28683385579937304</v>
      </c>
      <c r="I21" s="196">
        <f t="shared" si="1"/>
        <v>8.8574821390332691E-4</v>
      </c>
      <c r="J21" s="103"/>
      <c r="K21" s="194" t="s">
        <v>133</v>
      </c>
      <c r="L21" s="195">
        <v>0</v>
      </c>
      <c r="M21" s="195">
        <v>3</v>
      </c>
      <c r="N21" s="195">
        <v>11</v>
      </c>
      <c r="O21" s="195">
        <v>12</v>
      </c>
      <c r="P21" s="195">
        <v>7</v>
      </c>
      <c r="Q21" s="196">
        <f t="shared" si="2"/>
        <v>-0.41666666666666663</v>
      </c>
      <c r="R21" s="196">
        <f t="shared" si="3"/>
        <v>2.4291216989971197E-4</v>
      </c>
    </row>
    <row r="22" spans="2:22" x14ac:dyDescent="0.25">
      <c r="B22" s="199" t="s">
        <v>147</v>
      </c>
      <c r="C22" s="200">
        <f>C14-SUM(C15:C21)</f>
        <v>61796</v>
      </c>
      <c r="D22" s="200">
        <f>D14-SUM(D15:D21)</f>
        <v>84543</v>
      </c>
      <c r="E22" s="200">
        <f>E14-SUM(E15:E21)</f>
        <v>87597</v>
      </c>
      <c r="F22" s="200">
        <f>F14-SUM(F15:F21)</f>
        <v>102182</v>
      </c>
      <c r="G22" s="200">
        <f>G14-SUM(G15:G21)</f>
        <v>99290</v>
      </c>
      <c r="H22" s="201">
        <f t="shared" si="0"/>
        <v>-2.8302440742988044E-2</v>
      </c>
      <c r="I22" s="201">
        <f t="shared" si="1"/>
        <v>0.19328778056804688</v>
      </c>
      <c r="J22" s="103"/>
      <c r="K22" s="199" t="s">
        <v>147</v>
      </c>
      <c r="L22" s="200">
        <f>L14-SUM(L15:L21)</f>
        <v>5167</v>
      </c>
      <c r="M22" s="200">
        <f>M14-SUM(M15:M21)</f>
        <v>5604</v>
      </c>
      <c r="N22" s="200">
        <f>N14-SUM(N15:N21)</f>
        <v>5650</v>
      </c>
      <c r="O22" s="200">
        <f>O14-SUM(O15:O21)</f>
        <v>6740</v>
      </c>
      <c r="P22" s="200">
        <f>P14-SUM(P15:P21)</f>
        <v>6476</v>
      </c>
      <c r="Q22" s="201">
        <f t="shared" si="2"/>
        <v>-3.9169139465875413E-2</v>
      </c>
      <c r="R22" s="201">
        <f t="shared" si="3"/>
        <v>0.22472845889579068</v>
      </c>
    </row>
    <row r="23" spans="2:22" x14ac:dyDescent="0.25">
      <c r="B23" s="186" t="s">
        <v>46</v>
      </c>
      <c r="C23" s="207"/>
      <c r="D23" s="207"/>
      <c r="E23" s="207"/>
      <c r="F23" s="207"/>
      <c r="G23" s="207"/>
      <c r="H23" s="208"/>
      <c r="I23" s="208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</row>
    <row r="24" spans="2:22" x14ac:dyDescent="0.25">
      <c r="B24" s="187" t="s">
        <v>70</v>
      </c>
      <c r="C24" s="209">
        <v>126117</v>
      </c>
      <c r="D24" s="209">
        <v>171345</v>
      </c>
      <c r="E24" s="209">
        <v>183654</v>
      </c>
      <c r="F24" s="209">
        <v>181999</v>
      </c>
      <c r="G24" s="209">
        <v>173169</v>
      </c>
      <c r="H24" s="210">
        <f t="shared" ref="H24:H36" si="4">IFERROR(G24/F24-1,"-")</f>
        <v>-4.8516750092033489E-2</v>
      </c>
      <c r="I24" s="210">
        <f t="shared" ref="I24:I36" si="5">G24/G$10</f>
        <v>0.33710798341412135</v>
      </c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</row>
    <row r="25" spans="2:22" x14ac:dyDescent="0.25">
      <c r="B25" s="190" t="s">
        <v>99</v>
      </c>
      <c r="C25" s="191">
        <v>30586</v>
      </c>
      <c r="D25" s="191">
        <v>22949</v>
      </c>
      <c r="E25" s="191">
        <v>20260</v>
      </c>
      <c r="F25" s="191">
        <v>18598</v>
      </c>
      <c r="G25" s="191">
        <v>16608</v>
      </c>
      <c r="H25" s="192">
        <f t="shared" si="4"/>
        <v>-0.10700075276911492</v>
      </c>
      <c r="I25" s="192">
        <f t="shared" si="5"/>
        <v>3.2330783157157039E-2</v>
      </c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</row>
    <row r="26" spans="2:22" x14ac:dyDescent="0.25">
      <c r="B26" s="194" t="s">
        <v>105</v>
      </c>
      <c r="C26" s="195">
        <v>12846</v>
      </c>
      <c r="D26" s="195">
        <v>8758</v>
      </c>
      <c r="E26" s="195">
        <v>7870</v>
      </c>
      <c r="F26" s="195">
        <v>6503</v>
      </c>
      <c r="G26" s="195">
        <v>8081</v>
      </c>
      <c r="H26" s="196">
        <f t="shared" si="4"/>
        <v>0.24265723512225135</v>
      </c>
      <c r="I26" s="196">
        <f t="shared" si="5"/>
        <v>1.5731277618797328E-2</v>
      </c>
    </row>
    <row r="27" spans="2:22" x14ac:dyDescent="0.25">
      <c r="B27" s="194" t="s">
        <v>102</v>
      </c>
      <c r="C27" s="195">
        <v>17740</v>
      </c>
      <c r="D27" s="195">
        <v>14191</v>
      </c>
      <c r="E27" s="195">
        <v>12390</v>
      </c>
      <c r="F27" s="195">
        <v>12095</v>
      </c>
      <c r="G27" s="195">
        <v>8527</v>
      </c>
      <c r="H27" s="196">
        <f t="shared" si="4"/>
        <v>-0.29499793303017774</v>
      </c>
      <c r="I27" s="196">
        <f t="shared" si="5"/>
        <v>1.6599505538359711E-2</v>
      </c>
    </row>
    <row r="28" spans="2:22" x14ac:dyDescent="0.25">
      <c r="B28" s="190" t="s">
        <v>109</v>
      </c>
      <c r="C28" s="191">
        <v>95531</v>
      </c>
      <c r="D28" s="191">
        <v>148396</v>
      </c>
      <c r="E28" s="191">
        <v>163394</v>
      </c>
      <c r="F28" s="191">
        <v>163401</v>
      </c>
      <c r="G28" s="191">
        <v>156561</v>
      </c>
      <c r="H28" s="192">
        <f t="shared" si="4"/>
        <v>-4.1860208933849896E-2</v>
      </c>
      <c r="I28" s="192">
        <f t="shared" si="5"/>
        <v>0.30477720025696431</v>
      </c>
    </row>
    <row r="29" spans="2:22" x14ac:dyDescent="0.25">
      <c r="B29" s="194" t="s">
        <v>112</v>
      </c>
      <c r="C29" s="195">
        <v>35490</v>
      </c>
      <c r="D29" s="195">
        <v>85087</v>
      </c>
      <c r="E29" s="195">
        <v>95823</v>
      </c>
      <c r="F29" s="195">
        <v>94224</v>
      </c>
      <c r="G29" s="195">
        <v>92755</v>
      </c>
      <c r="H29" s="196">
        <f t="shared" si="4"/>
        <v>-1.5590507726269354E-2</v>
      </c>
      <c r="I29" s="196">
        <f t="shared" si="5"/>
        <v>0.18056610017714964</v>
      </c>
    </row>
    <row r="30" spans="2:22" x14ac:dyDescent="0.25">
      <c r="B30" s="194" t="s">
        <v>115</v>
      </c>
      <c r="C30" s="195">
        <v>19804</v>
      </c>
      <c r="D30" s="195">
        <v>16493</v>
      </c>
      <c r="E30" s="195">
        <v>17384</v>
      </c>
      <c r="F30" s="195">
        <v>16729</v>
      </c>
      <c r="G30" s="195">
        <v>15215</v>
      </c>
      <c r="H30" s="196">
        <f t="shared" si="4"/>
        <v>-9.0501524299121283E-2</v>
      </c>
      <c r="I30" s="196">
        <f t="shared" si="5"/>
        <v>2.9619030933053007E-2</v>
      </c>
    </row>
    <row r="31" spans="2:22" x14ac:dyDescent="0.25">
      <c r="B31" s="194" t="s">
        <v>118</v>
      </c>
      <c r="C31" s="195">
        <v>3611</v>
      </c>
      <c r="D31" s="195">
        <v>5012</v>
      </c>
      <c r="E31" s="195">
        <v>5882</v>
      </c>
      <c r="F31" s="195">
        <v>3614</v>
      </c>
      <c r="G31" s="195">
        <v>4030</v>
      </c>
      <c r="H31" s="196">
        <f t="shared" si="4"/>
        <v>0.1151079136690647</v>
      </c>
      <c r="I31" s="196">
        <f t="shared" si="5"/>
        <v>7.8451984660008953E-3</v>
      </c>
    </row>
    <row r="32" spans="2:22" x14ac:dyDescent="0.25">
      <c r="B32" s="194" t="s">
        <v>125</v>
      </c>
      <c r="C32" s="195">
        <v>7659</v>
      </c>
      <c r="D32" s="195">
        <v>7424</v>
      </c>
      <c r="E32" s="195">
        <v>7152</v>
      </c>
      <c r="F32" s="195">
        <v>6638</v>
      </c>
      <c r="G32" s="195">
        <v>6397</v>
      </c>
      <c r="H32" s="196">
        <f t="shared" si="4"/>
        <v>-3.6306116300090396E-2</v>
      </c>
      <c r="I32" s="196">
        <f t="shared" si="5"/>
        <v>1.2453035877669412E-2</v>
      </c>
    </row>
    <row r="33" spans="2:9" x14ac:dyDescent="0.25">
      <c r="B33" s="194" t="s">
        <v>121</v>
      </c>
      <c r="C33" s="195">
        <v>7782</v>
      </c>
      <c r="D33" s="195">
        <v>6516</v>
      </c>
      <c r="E33" s="195">
        <v>6621</v>
      </c>
      <c r="F33" s="195">
        <v>6812</v>
      </c>
      <c r="G33" s="195">
        <v>6581</v>
      </c>
      <c r="H33" s="196">
        <f t="shared" si="4"/>
        <v>-3.3910745742806836E-2</v>
      </c>
      <c r="I33" s="196">
        <f t="shared" si="5"/>
        <v>1.2811228561973174E-2</v>
      </c>
    </row>
    <row r="34" spans="2:9" x14ac:dyDescent="0.25">
      <c r="B34" s="194" t="s">
        <v>130</v>
      </c>
      <c r="C34" s="195">
        <v>220</v>
      </c>
      <c r="D34" s="195">
        <v>564</v>
      </c>
      <c r="E34" s="195">
        <v>734</v>
      </c>
      <c r="F34" s="195">
        <v>961</v>
      </c>
      <c r="G34" s="195">
        <v>582</v>
      </c>
      <c r="H34" s="196">
        <f t="shared" si="4"/>
        <v>-0.39438085327783556</v>
      </c>
      <c r="I34" s="196">
        <f t="shared" si="5"/>
        <v>1.1329790340477721E-3</v>
      </c>
    </row>
    <row r="35" spans="2:9" x14ac:dyDescent="0.25">
      <c r="B35" s="194" t="s">
        <v>133</v>
      </c>
      <c r="C35" s="195">
        <v>65</v>
      </c>
      <c r="D35" s="195">
        <v>431</v>
      </c>
      <c r="E35" s="195">
        <v>464</v>
      </c>
      <c r="F35" s="195">
        <v>235</v>
      </c>
      <c r="G35" s="195">
        <v>97</v>
      </c>
      <c r="H35" s="196">
        <f t="shared" si="4"/>
        <v>-0.58723404255319145</v>
      </c>
      <c r="I35" s="196">
        <f t="shared" si="5"/>
        <v>1.8882983900796199E-4</v>
      </c>
    </row>
    <row r="36" spans="2:9" x14ac:dyDescent="0.25">
      <c r="B36" s="199" t="s">
        <v>147</v>
      </c>
      <c r="C36" s="200">
        <f>C28-SUM(C29:C35)</f>
        <v>20900</v>
      </c>
      <c r="D36" s="200">
        <f>D28-SUM(D29:D35)</f>
        <v>26869</v>
      </c>
      <c r="E36" s="200">
        <f>E28-SUM(E29:E35)</f>
        <v>29334</v>
      </c>
      <c r="F36" s="200">
        <f>F28-SUM(F29:F35)</f>
        <v>34188</v>
      </c>
      <c r="G36" s="200">
        <f>G28-SUM(G29:G35)</f>
        <v>30904</v>
      </c>
      <c r="H36" s="201">
        <f t="shared" si="4"/>
        <v>-9.6057096057096003E-2</v>
      </c>
      <c r="I36" s="201">
        <f t="shared" si="5"/>
        <v>6.0160797368062451E-2</v>
      </c>
    </row>
    <row r="37" spans="2:9" x14ac:dyDescent="0.25">
      <c r="B37" s="186" t="s">
        <v>47</v>
      </c>
      <c r="C37" s="207"/>
      <c r="D37" s="207"/>
      <c r="E37" s="207"/>
      <c r="F37" s="207"/>
      <c r="G37" s="207"/>
      <c r="H37" s="208"/>
      <c r="I37" s="208"/>
    </row>
    <row r="38" spans="2:9" x14ac:dyDescent="0.25">
      <c r="B38" s="187" t="s">
        <v>70</v>
      </c>
      <c r="C38" s="209">
        <v>68931</v>
      </c>
      <c r="D38" s="209">
        <v>125170</v>
      </c>
      <c r="E38" s="209">
        <v>128953</v>
      </c>
      <c r="F38" s="209">
        <v>134918</v>
      </c>
      <c r="G38" s="209">
        <v>139149</v>
      </c>
      <c r="H38" s="210">
        <f t="shared" ref="H38:H50" si="6">IFERROR(G38/F38-1,"-")</f>
        <v>3.1359788908818631E-2</v>
      </c>
      <c r="I38" s="210">
        <f t="shared" ref="I38:I50" si="7">G38/G$10</f>
        <v>0.27088127080534952</v>
      </c>
    </row>
    <row r="39" spans="2:9" x14ac:dyDescent="0.25">
      <c r="B39" s="190" t="s">
        <v>99</v>
      </c>
      <c r="C39" s="191">
        <v>9669</v>
      </c>
      <c r="D39" s="191">
        <v>12300</v>
      </c>
      <c r="E39" s="191">
        <v>12391</v>
      </c>
      <c r="F39" s="191">
        <v>12285</v>
      </c>
      <c r="G39" s="191">
        <v>13905</v>
      </c>
      <c r="H39" s="192">
        <f t="shared" si="6"/>
        <v>0.13186813186813184</v>
      </c>
      <c r="I39" s="192">
        <f t="shared" si="7"/>
        <v>2.7068854756759915E-2</v>
      </c>
    </row>
    <row r="40" spans="2:9" x14ac:dyDescent="0.25">
      <c r="B40" s="194" t="s">
        <v>105</v>
      </c>
      <c r="C40" s="195">
        <v>2943</v>
      </c>
      <c r="D40" s="195">
        <v>4194</v>
      </c>
      <c r="E40" s="195">
        <v>5378</v>
      </c>
      <c r="F40" s="195">
        <v>5410</v>
      </c>
      <c r="G40" s="195">
        <v>6626</v>
      </c>
      <c r="H40" s="196">
        <f t="shared" si="6"/>
        <v>0.22476894639556377</v>
      </c>
      <c r="I40" s="196">
        <f t="shared" si="7"/>
        <v>1.2898830033677899E-2</v>
      </c>
    </row>
    <row r="41" spans="2:9" x14ac:dyDescent="0.25">
      <c r="B41" s="194" t="s">
        <v>102</v>
      </c>
      <c r="C41" s="195">
        <v>6726</v>
      </c>
      <c r="D41" s="195">
        <v>8106</v>
      </c>
      <c r="E41" s="195">
        <v>7013</v>
      </c>
      <c r="F41" s="195">
        <v>6875</v>
      </c>
      <c r="G41" s="195">
        <v>7279</v>
      </c>
      <c r="H41" s="196">
        <f t="shared" si="6"/>
        <v>5.8763636363636351E-2</v>
      </c>
      <c r="I41" s="196">
        <f t="shared" si="7"/>
        <v>1.4170024723082014E-2</v>
      </c>
    </row>
    <row r="42" spans="2:9" x14ac:dyDescent="0.25">
      <c r="B42" s="190" t="s">
        <v>109</v>
      </c>
      <c r="C42" s="191">
        <v>59262</v>
      </c>
      <c r="D42" s="191">
        <v>112870</v>
      </c>
      <c r="E42" s="191">
        <v>116562</v>
      </c>
      <c r="F42" s="191">
        <v>122633</v>
      </c>
      <c r="G42" s="191">
        <v>125244</v>
      </c>
      <c r="H42" s="192">
        <f t="shared" si="6"/>
        <v>2.1291169587305259E-2</v>
      </c>
      <c r="I42" s="192">
        <f t="shared" si="7"/>
        <v>0.24381241604858961</v>
      </c>
    </row>
    <row r="43" spans="2:9" x14ac:dyDescent="0.25">
      <c r="B43" s="194" t="s">
        <v>112</v>
      </c>
      <c r="C43" s="195">
        <v>27108</v>
      </c>
      <c r="D43" s="195">
        <v>68258</v>
      </c>
      <c r="E43" s="195">
        <v>72064</v>
      </c>
      <c r="F43" s="195">
        <v>76519</v>
      </c>
      <c r="G43" s="195">
        <v>74846</v>
      </c>
      <c r="H43" s="196">
        <f t="shared" si="6"/>
        <v>-2.1863850808296004E-2</v>
      </c>
      <c r="I43" s="196">
        <f t="shared" si="7"/>
        <v>0.14570266113804045</v>
      </c>
    </row>
    <row r="44" spans="2:9" x14ac:dyDescent="0.25">
      <c r="B44" s="194" t="s">
        <v>115</v>
      </c>
      <c r="C44" s="195">
        <v>3104</v>
      </c>
      <c r="D44" s="195">
        <v>3215</v>
      </c>
      <c r="E44" s="195">
        <v>3854</v>
      </c>
      <c r="F44" s="195">
        <v>3441</v>
      </c>
      <c r="G44" s="195">
        <v>4057</v>
      </c>
      <c r="H44" s="196">
        <f t="shared" si="6"/>
        <v>0.17901772740482413</v>
      </c>
      <c r="I44" s="196">
        <f t="shared" si="7"/>
        <v>7.8977593490237308E-3</v>
      </c>
    </row>
    <row r="45" spans="2:9" x14ac:dyDescent="0.25">
      <c r="B45" s="194" t="s">
        <v>118</v>
      </c>
      <c r="C45" s="195">
        <v>1620</v>
      </c>
      <c r="D45" s="195">
        <v>2240</v>
      </c>
      <c r="E45" s="195">
        <v>2611</v>
      </c>
      <c r="F45" s="195">
        <v>2354</v>
      </c>
      <c r="G45" s="195">
        <v>2686</v>
      </c>
      <c r="H45" s="196">
        <f t="shared" si="6"/>
        <v>0.14103653355989798</v>
      </c>
      <c r="I45" s="196">
        <f t="shared" si="7"/>
        <v>5.2288345110864526E-3</v>
      </c>
    </row>
    <row r="46" spans="2:9" x14ac:dyDescent="0.25">
      <c r="B46" s="194" t="s">
        <v>125</v>
      </c>
      <c r="C46" s="195">
        <v>5580</v>
      </c>
      <c r="D46" s="195">
        <v>6502</v>
      </c>
      <c r="E46" s="195">
        <v>6405</v>
      </c>
      <c r="F46" s="195">
        <v>5630</v>
      </c>
      <c r="G46" s="195">
        <v>5549</v>
      </c>
      <c r="H46" s="196">
        <f t="shared" si="6"/>
        <v>-1.4387211367673181E-2</v>
      </c>
      <c r="I46" s="196">
        <f t="shared" si="7"/>
        <v>1.0802234810878155E-2</v>
      </c>
    </row>
    <row r="47" spans="2:9" x14ac:dyDescent="0.25">
      <c r="B47" s="194" t="s">
        <v>121</v>
      </c>
      <c r="C47" s="195">
        <v>3905</v>
      </c>
      <c r="D47" s="195">
        <v>4026</v>
      </c>
      <c r="E47" s="195">
        <v>4643</v>
      </c>
      <c r="F47" s="195">
        <v>3835</v>
      </c>
      <c r="G47" s="195">
        <v>4388</v>
      </c>
      <c r="H47" s="196">
        <f t="shared" si="6"/>
        <v>0.1441981747066492</v>
      </c>
      <c r="I47" s="196">
        <f t="shared" si="7"/>
        <v>8.5421168408962612E-3</v>
      </c>
    </row>
    <row r="48" spans="2:9" x14ac:dyDescent="0.25">
      <c r="B48" s="194" t="s">
        <v>130</v>
      </c>
      <c r="C48" s="195">
        <v>646</v>
      </c>
      <c r="D48" s="195">
        <v>625</v>
      </c>
      <c r="E48" s="195">
        <v>539</v>
      </c>
      <c r="F48" s="195">
        <v>547</v>
      </c>
      <c r="G48" s="195">
        <v>563</v>
      </c>
      <c r="H48" s="196">
        <f t="shared" si="6"/>
        <v>2.9250457038391131E-2</v>
      </c>
      <c r="I48" s="196">
        <f t="shared" si="7"/>
        <v>1.0959917459946661E-3</v>
      </c>
    </row>
    <row r="49" spans="2:9" x14ac:dyDescent="0.25">
      <c r="B49" s="194" t="s">
        <v>133</v>
      </c>
      <c r="C49" s="195">
        <v>92</v>
      </c>
      <c r="D49" s="195">
        <v>134</v>
      </c>
      <c r="E49" s="195">
        <v>422</v>
      </c>
      <c r="F49" s="195">
        <v>113</v>
      </c>
      <c r="G49" s="195">
        <v>149</v>
      </c>
      <c r="H49" s="196">
        <f t="shared" si="6"/>
        <v>0.31858407079646023</v>
      </c>
      <c r="I49" s="196">
        <f t="shared" si="7"/>
        <v>2.9005820631119935E-4</v>
      </c>
    </row>
    <row r="50" spans="2:9" x14ac:dyDescent="0.25">
      <c r="B50" s="199" t="s">
        <v>147</v>
      </c>
      <c r="C50" s="200">
        <f>C42-SUM(C43:C49)</f>
        <v>17207</v>
      </c>
      <c r="D50" s="200">
        <f>D42-SUM(D43:D49)</f>
        <v>27870</v>
      </c>
      <c r="E50" s="200">
        <f>E42-SUM(E43:E49)</f>
        <v>26024</v>
      </c>
      <c r="F50" s="200">
        <f>F42-SUM(F43:F49)</f>
        <v>30194</v>
      </c>
      <c r="G50" s="200">
        <f>G42-SUM(G43:G49)</f>
        <v>33006</v>
      </c>
      <c r="H50" s="201">
        <f t="shared" si="6"/>
        <v>9.313108564615491E-2</v>
      </c>
      <c r="I50" s="201">
        <f t="shared" si="7"/>
        <v>6.4252759446358693E-2</v>
      </c>
    </row>
    <row r="51" spans="2:9" x14ac:dyDescent="0.25">
      <c r="B51" s="186" t="s">
        <v>48</v>
      </c>
      <c r="C51" s="207"/>
      <c r="D51" s="207"/>
      <c r="E51" s="207"/>
      <c r="F51" s="207"/>
      <c r="G51" s="207"/>
      <c r="H51" s="208"/>
      <c r="I51" s="208"/>
    </row>
    <row r="52" spans="2:9" x14ac:dyDescent="0.25">
      <c r="B52" s="187" t="s">
        <v>70</v>
      </c>
      <c r="C52" s="209">
        <v>2558</v>
      </c>
      <c r="D52" s="209">
        <v>3499</v>
      </c>
      <c r="E52" s="209">
        <v>4023</v>
      </c>
      <c r="F52" s="209">
        <v>3471</v>
      </c>
      <c r="G52" s="209">
        <v>4391</v>
      </c>
      <c r="H52" s="210">
        <f t="shared" ref="H52:H64" si="8">IFERROR(G52/F52-1,"-")</f>
        <v>0.26505329876116401</v>
      </c>
      <c r="I52" s="210">
        <f t="shared" ref="I52:I64" si="9">G52/G$10</f>
        <v>8.5479569390099087E-3</v>
      </c>
    </row>
    <row r="53" spans="2:9" x14ac:dyDescent="0.25">
      <c r="B53" s="190" t="s">
        <v>99</v>
      </c>
      <c r="C53" s="191">
        <v>695</v>
      </c>
      <c r="D53" s="191">
        <v>563</v>
      </c>
      <c r="E53" s="191">
        <v>1757</v>
      </c>
      <c r="F53" s="191">
        <v>908</v>
      </c>
      <c r="G53" s="191">
        <v>1377</v>
      </c>
      <c r="H53" s="192">
        <f t="shared" si="8"/>
        <v>0.51651982378854622</v>
      </c>
      <c r="I53" s="192">
        <f t="shared" si="9"/>
        <v>2.6806050341645739E-3</v>
      </c>
    </row>
    <row r="54" spans="2:9" x14ac:dyDescent="0.25">
      <c r="B54" s="194" t="s">
        <v>105</v>
      </c>
      <c r="C54" s="195">
        <v>333</v>
      </c>
      <c r="D54" s="195">
        <v>284</v>
      </c>
      <c r="E54" s="195">
        <v>1401</v>
      </c>
      <c r="F54" s="195">
        <v>691</v>
      </c>
      <c r="G54" s="195">
        <v>855</v>
      </c>
      <c r="H54" s="196">
        <f t="shared" si="8"/>
        <v>0.23733719247467433</v>
      </c>
      <c r="I54" s="196">
        <f t="shared" si="9"/>
        <v>1.6644279623897681E-3</v>
      </c>
    </row>
    <row r="55" spans="2:9" x14ac:dyDescent="0.25">
      <c r="B55" s="194" t="s">
        <v>102</v>
      </c>
      <c r="C55" s="195">
        <v>362</v>
      </c>
      <c r="D55" s="195">
        <v>279</v>
      </c>
      <c r="E55" s="195">
        <v>356</v>
      </c>
      <c r="F55" s="195">
        <v>217</v>
      </c>
      <c r="G55" s="195">
        <v>522</v>
      </c>
      <c r="H55" s="196">
        <f t="shared" si="8"/>
        <v>1.4055299539170507</v>
      </c>
      <c r="I55" s="196">
        <f t="shared" si="9"/>
        <v>1.0161770717748058E-3</v>
      </c>
    </row>
    <row r="56" spans="2:9" x14ac:dyDescent="0.25">
      <c r="B56" s="190" t="s">
        <v>109</v>
      </c>
      <c r="C56" s="191">
        <v>1863</v>
      </c>
      <c r="D56" s="191">
        <v>2936</v>
      </c>
      <c r="E56" s="191">
        <v>2266</v>
      </c>
      <c r="F56" s="191">
        <v>2563</v>
      </c>
      <c r="G56" s="191">
        <v>3014</v>
      </c>
      <c r="H56" s="192">
        <f t="shared" si="8"/>
        <v>0.17596566523605151</v>
      </c>
      <c r="I56" s="192">
        <f t="shared" si="9"/>
        <v>5.8673519048453348E-3</v>
      </c>
    </row>
    <row r="57" spans="2:9" x14ac:dyDescent="0.25">
      <c r="B57" s="194" t="s">
        <v>112</v>
      </c>
      <c r="C57" s="195">
        <v>696</v>
      </c>
      <c r="D57" s="195">
        <v>956</v>
      </c>
      <c r="E57" s="195">
        <v>940</v>
      </c>
      <c r="F57" s="195">
        <v>1013</v>
      </c>
      <c r="G57" s="195">
        <v>1149</v>
      </c>
      <c r="H57" s="196">
        <f t="shared" si="8"/>
        <v>0.13425468904244808</v>
      </c>
      <c r="I57" s="196">
        <f t="shared" si="9"/>
        <v>2.2367575775273023E-3</v>
      </c>
    </row>
    <row r="58" spans="2:9" x14ac:dyDescent="0.25">
      <c r="B58" s="194" t="s">
        <v>115</v>
      </c>
      <c r="C58" s="195">
        <v>488</v>
      </c>
      <c r="D58" s="195">
        <v>525</v>
      </c>
      <c r="E58" s="195">
        <v>404</v>
      </c>
      <c r="F58" s="195">
        <v>401</v>
      </c>
      <c r="G58" s="195">
        <v>516</v>
      </c>
      <c r="H58" s="196">
        <f t="shared" si="8"/>
        <v>0.28678304239401498</v>
      </c>
      <c r="I58" s="196">
        <f t="shared" si="9"/>
        <v>1.0044968755475092E-3</v>
      </c>
    </row>
    <row r="59" spans="2:9" x14ac:dyDescent="0.25">
      <c r="B59" s="194" t="s">
        <v>118</v>
      </c>
      <c r="C59" s="195">
        <v>106</v>
      </c>
      <c r="D59" s="195">
        <v>307</v>
      </c>
      <c r="E59" s="195">
        <v>177</v>
      </c>
      <c r="F59" s="195">
        <v>210</v>
      </c>
      <c r="G59" s="195">
        <v>296</v>
      </c>
      <c r="H59" s="196">
        <f t="shared" si="8"/>
        <v>0.40952380952380962</v>
      </c>
      <c r="I59" s="196">
        <f t="shared" si="9"/>
        <v>5.7622301387996657E-4</v>
      </c>
    </row>
    <row r="60" spans="2:9" x14ac:dyDescent="0.25">
      <c r="B60" s="194" t="s">
        <v>125</v>
      </c>
      <c r="C60" s="195">
        <v>58</v>
      </c>
      <c r="D60" s="195">
        <v>52</v>
      </c>
      <c r="E60" s="195">
        <v>36</v>
      </c>
      <c r="F60" s="195">
        <v>88</v>
      </c>
      <c r="G60" s="195">
        <v>110</v>
      </c>
      <c r="H60" s="196">
        <f t="shared" si="8"/>
        <v>0.25</v>
      </c>
      <c r="I60" s="196">
        <f t="shared" si="9"/>
        <v>2.1413693083377133E-4</v>
      </c>
    </row>
    <row r="61" spans="2:9" x14ac:dyDescent="0.25">
      <c r="B61" s="194" t="s">
        <v>121</v>
      </c>
      <c r="C61" s="195">
        <v>25</v>
      </c>
      <c r="D61" s="195">
        <v>57</v>
      </c>
      <c r="E61" s="195">
        <v>18</v>
      </c>
      <c r="F61" s="195">
        <v>70</v>
      </c>
      <c r="G61" s="195">
        <v>54</v>
      </c>
      <c r="H61" s="196">
        <f t="shared" si="8"/>
        <v>-0.22857142857142854</v>
      </c>
      <c r="I61" s="196">
        <f t="shared" si="9"/>
        <v>1.0512176604566956E-4</v>
      </c>
    </row>
    <row r="62" spans="2:9" x14ac:dyDescent="0.25">
      <c r="B62" s="194" t="s">
        <v>130</v>
      </c>
      <c r="C62" s="195">
        <v>0</v>
      </c>
      <c r="D62" s="195">
        <v>3</v>
      </c>
      <c r="E62" s="195">
        <v>7</v>
      </c>
      <c r="F62" s="195">
        <v>4</v>
      </c>
      <c r="G62" s="195">
        <v>2</v>
      </c>
      <c r="H62" s="196">
        <f t="shared" si="8"/>
        <v>-0.5</v>
      </c>
      <c r="I62" s="196">
        <f t="shared" si="9"/>
        <v>3.8933987424322059E-6</v>
      </c>
    </row>
    <row r="63" spans="2:9" x14ac:dyDescent="0.25">
      <c r="B63" s="194" t="s">
        <v>133</v>
      </c>
      <c r="C63" s="195">
        <v>2</v>
      </c>
      <c r="D63" s="195">
        <v>0</v>
      </c>
      <c r="E63" s="195">
        <v>0</v>
      </c>
      <c r="F63" s="195">
        <v>4</v>
      </c>
      <c r="G63" s="195">
        <v>0</v>
      </c>
      <c r="H63" s="196">
        <f t="shared" si="8"/>
        <v>-1</v>
      </c>
      <c r="I63" s="196">
        <f t="shared" si="9"/>
        <v>0</v>
      </c>
    </row>
    <row r="64" spans="2:9" x14ac:dyDescent="0.25">
      <c r="B64" s="199" t="s">
        <v>147</v>
      </c>
      <c r="C64" s="200">
        <f>C56-SUM(C57:C63)</f>
        <v>488</v>
      </c>
      <c r="D64" s="200">
        <f>D56-SUM(D57:D63)</f>
        <v>1036</v>
      </c>
      <c r="E64" s="200">
        <f>E56-SUM(E57:E63)</f>
        <v>684</v>
      </c>
      <c r="F64" s="200">
        <f>F56-SUM(F57:F63)</f>
        <v>773</v>
      </c>
      <c r="G64" s="200">
        <f>G56-SUM(G57:G63)</f>
        <v>887</v>
      </c>
      <c r="H64" s="201">
        <f t="shared" si="8"/>
        <v>0.14747736093143593</v>
      </c>
      <c r="I64" s="201">
        <f t="shared" si="9"/>
        <v>1.7267223422686834E-3</v>
      </c>
    </row>
    <row r="65" spans="2:9" x14ac:dyDescent="0.25">
      <c r="B65" s="186" t="s">
        <v>49</v>
      </c>
      <c r="C65" s="207"/>
      <c r="D65" s="207"/>
      <c r="E65" s="207"/>
      <c r="F65" s="207"/>
      <c r="G65" s="207"/>
      <c r="H65" s="208"/>
      <c r="I65" s="208"/>
    </row>
    <row r="66" spans="2:9" x14ac:dyDescent="0.25">
      <c r="B66" s="187" t="s">
        <v>70</v>
      </c>
      <c r="C66" s="209">
        <v>9924</v>
      </c>
      <c r="D66" s="209">
        <v>13134</v>
      </c>
      <c r="E66" s="209">
        <v>18421</v>
      </c>
      <c r="F66" s="209">
        <v>19553</v>
      </c>
      <c r="G66" s="209">
        <v>15854</v>
      </c>
      <c r="H66" s="210">
        <f t="shared" ref="H66:H78" si="10">IFERROR(G66/F66-1,"-")</f>
        <v>-0.18917813123305882</v>
      </c>
      <c r="I66" s="210">
        <f t="shared" ref="I66:I78" si="11">G66/G$10</f>
        <v>3.0862971831260098E-2</v>
      </c>
    </row>
    <row r="67" spans="2:9" x14ac:dyDescent="0.25">
      <c r="B67" s="190" t="s">
        <v>99</v>
      </c>
      <c r="C67" s="191">
        <v>5017</v>
      </c>
      <c r="D67" s="191">
        <v>1381</v>
      </c>
      <c r="E67" s="191">
        <v>9816</v>
      </c>
      <c r="F67" s="191">
        <v>7884</v>
      </c>
      <c r="G67" s="191">
        <v>3715</v>
      </c>
      <c r="H67" s="192">
        <f t="shared" si="10"/>
        <v>-0.52879249112125826</v>
      </c>
      <c r="I67" s="192">
        <f t="shared" si="11"/>
        <v>7.2319881640678227E-3</v>
      </c>
    </row>
    <row r="68" spans="2:9" x14ac:dyDescent="0.25">
      <c r="B68" s="194" t="s">
        <v>105</v>
      </c>
      <c r="C68" s="195">
        <v>3373</v>
      </c>
      <c r="D68" s="195">
        <v>286</v>
      </c>
      <c r="E68" s="195">
        <v>7748</v>
      </c>
      <c r="F68" s="195">
        <v>5350</v>
      </c>
      <c r="G68" s="195">
        <v>1208</v>
      </c>
      <c r="H68" s="196">
        <f t="shared" si="10"/>
        <v>-0.77420560747663547</v>
      </c>
      <c r="I68" s="196">
        <f t="shared" si="11"/>
        <v>2.3516128404290526E-3</v>
      </c>
    </row>
    <row r="69" spans="2:9" x14ac:dyDescent="0.25">
      <c r="B69" s="194" t="s">
        <v>102</v>
      </c>
      <c r="C69" s="195">
        <v>1644</v>
      </c>
      <c r="D69" s="195">
        <v>1095</v>
      </c>
      <c r="E69" s="195">
        <v>2068</v>
      </c>
      <c r="F69" s="195">
        <v>2534</v>
      </c>
      <c r="G69" s="195">
        <v>2507</v>
      </c>
      <c r="H69" s="196">
        <f t="shared" si="10"/>
        <v>-1.0655090765588016E-2</v>
      </c>
      <c r="I69" s="196">
        <f t="shared" si="11"/>
        <v>4.8803753236387705E-3</v>
      </c>
    </row>
    <row r="70" spans="2:9" x14ac:dyDescent="0.25">
      <c r="B70" s="190" t="s">
        <v>109</v>
      </c>
      <c r="C70" s="191">
        <v>4907</v>
      </c>
      <c r="D70" s="191">
        <v>11753</v>
      </c>
      <c r="E70" s="191">
        <v>8605</v>
      </c>
      <c r="F70" s="191">
        <v>11669</v>
      </c>
      <c r="G70" s="191">
        <v>12139</v>
      </c>
      <c r="H70" s="192">
        <f t="shared" si="10"/>
        <v>4.0277658753963497E-2</v>
      </c>
      <c r="I70" s="192">
        <f t="shared" si="11"/>
        <v>2.3630983667192275E-2</v>
      </c>
    </row>
    <row r="71" spans="2:9" x14ac:dyDescent="0.25">
      <c r="B71" s="194" t="s">
        <v>112</v>
      </c>
      <c r="C71" s="195">
        <v>2258</v>
      </c>
      <c r="D71" s="195">
        <v>5708</v>
      </c>
      <c r="E71" s="195">
        <v>3480</v>
      </c>
      <c r="F71" s="195">
        <v>5692</v>
      </c>
      <c r="G71" s="195">
        <v>6372</v>
      </c>
      <c r="H71" s="196">
        <f t="shared" si="10"/>
        <v>0.11946591707659882</v>
      </c>
      <c r="I71" s="196">
        <f t="shared" si="11"/>
        <v>1.240436839338901E-2</v>
      </c>
    </row>
    <row r="72" spans="2:9" x14ac:dyDescent="0.25">
      <c r="B72" s="194" t="s">
        <v>115</v>
      </c>
      <c r="C72" s="195">
        <v>578</v>
      </c>
      <c r="D72" s="195">
        <v>289</v>
      </c>
      <c r="E72" s="195">
        <v>835</v>
      </c>
      <c r="F72" s="195">
        <v>580</v>
      </c>
      <c r="G72" s="195">
        <v>872</v>
      </c>
      <c r="H72" s="196">
        <f t="shared" si="10"/>
        <v>0.50344827586206886</v>
      </c>
      <c r="I72" s="196">
        <f t="shared" si="11"/>
        <v>1.697521851700442E-3</v>
      </c>
    </row>
    <row r="73" spans="2:9" x14ac:dyDescent="0.25">
      <c r="B73" s="194" t="s">
        <v>118</v>
      </c>
      <c r="C73" s="195">
        <v>438</v>
      </c>
      <c r="D73" s="195">
        <v>1556</v>
      </c>
      <c r="E73" s="195">
        <v>323</v>
      </c>
      <c r="F73" s="195">
        <v>1041</v>
      </c>
      <c r="G73" s="195">
        <v>762</v>
      </c>
      <c r="H73" s="196">
        <f t="shared" si="10"/>
        <v>-0.26801152737752165</v>
      </c>
      <c r="I73" s="196">
        <f t="shared" si="11"/>
        <v>1.4833849208666706E-3</v>
      </c>
    </row>
    <row r="74" spans="2:9" x14ac:dyDescent="0.25">
      <c r="B74" s="194" t="s">
        <v>125</v>
      </c>
      <c r="C74" s="195">
        <v>432</v>
      </c>
      <c r="D74" s="195">
        <v>194</v>
      </c>
      <c r="E74" s="195">
        <v>319</v>
      </c>
      <c r="F74" s="195">
        <v>527</v>
      </c>
      <c r="G74" s="195">
        <v>794</v>
      </c>
      <c r="H74" s="196">
        <f t="shared" si="10"/>
        <v>0.50664136622390887</v>
      </c>
      <c r="I74" s="196">
        <f t="shared" si="11"/>
        <v>1.5456793007455859E-3</v>
      </c>
    </row>
    <row r="75" spans="2:9" x14ac:dyDescent="0.25">
      <c r="B75" s="194" t="s">
        <v>121</v>
      </c>
      <c r="C75" s="195">
        <v>108</v>
      </c>
      <c r="D75" s="195">
        <v>393</v>
      </c>
      <c r="E75" s="195">
        <v>58</v>
      </c>
      <c r="F75" s="195">
        <v>290</v>
      </c>
      <c r="G75" s="195">
        <v>208</v>
      </c>
      <c r="H75" s="196">
        <f t="shared" si="10"/>
        <v>-0.28275862068965518</v>
      </c>
      <c r="I75" s="196">
        <f t="shared" si="11"/>
        <v>4.0491346921294944E-4</v>
      </c>
    </row>
    <row r="76" spans="2:9" x14ac:dyDescent="0.25">
      <c r="B76" s="194" t="s">
        <v>130</v>
      </c>
      <c r="C76" s="195">
        <v>22</v>
      </c>
      <c r="D76" s="195">
        <v>14</v>
      </c>
      <c r="E76" s="195">
        <v>6</v>
      </c>
      <c r="F76" s="195">
        <v>33</v>
      </c>
      <c r="G76" s="195">
        <v>62</v>
      </c>
      <c r="H76" s="196">
        <f t="shared" si="10"/>
        <v>0.8787878787878789</v>
      </c>
      <c r="I76" s="196">
        <f t="shared" si="11"/>
        <v>1.206953610153984E-4</v>
      </c>
    </row>
    <row r="77" spans="2:9" x14ac:dyDescent="0.25">
      <c r="B77" s="194" t="s">
        <v>133</v>
      </c>
      <c r="C77" s="195">
        <v>7</v>
      </c>
      <c r="D77" s="195">
        <v>13</v>
      </c>
      <c r="E77" s="195">
        <v>8</v>
      </c>
      <c r="F77" s="195">
        <v>47</v>
      </c>
      <c r="G77" s="195">
        <v>53</v>
      </c>
      <c r="H77" s="196">
        <f t="shared" si="10"/>
        <v>0.12765957446808507</v>
      </c>
      <c r="I77" s="196">
        <f t="shared" si="11"/>
        <v>1.0317506667445346E-4</v>
      </c>
    </row>
    <row r="78" spans="2:9" x14ac:dyDescent="0.25">
      <c r="B78" s="199" t="s">
        <v>147</v>
      </c>
      <c r="C78" s="200">
        <f>C70-SUM(C71:C77)</f>
        <v>1064</v>
      </c>
      <c r="D78" s="200">
        <f>D70-SUM(D71:D77)</f>
        <v>3586</v>
      </c>
      <c r="E78" s="200">
        <f>E70-SUM(E71:E77)</f>
        <v>3576</v>
      </c>
      <c r="F78" s="200">
        <f>F70-SUM(F71:F77)</f>
        <v>3459</v>
      </c>
      <c r="G78" s="200">
        <f>G70-SUM(G71:G77)</f>
        <v>3016</v>
      </c>
      <c r="H78" s="201">
        <f t="shared" si="10"/>
        <v>-0.12807169702226073</v>
      </c>
      <c r="I78" s="201">
        <f t="shared" si="11"/>
        <v>5.8712453035877667E-3</v>
      </c>
    </row>
    <row r="79" spans="2:9" x14ac:dyDescent="0.25">
      <c r="B79" s="186" t="s">
        <v>50</v>
      </c>
      <c r="C79" s="207"/>
      <c r="D79" s="207"/>
      <c r="E79" s="207"/>
      <c r="F79" s="207"/>
      <c r="G79" s="207"/>
      <c r="H79" s="208"/>
      <c r="I79" s="208"/>
    </row>
    <row r="80" spans="2:9" x14ac:dyDescent="0.25">
      <c r="B80" s="187" t="s">
        <v>70</v>
      </c>
      <c r="C80" s="209">
        <v>55397</v>
      </c>
      <c r="D80" s="209">
        <v>71676</v>
      </c>
      <c r="E80" s="209">
        <v>83171</v>
      </c>
      <c r="F80" s="209">
        <v>91131</v>
      </c>
      <c r="G80" s="209">
        <v>91031</v>
      </c>
      <c r="H80" s="210">
        <f t="shared" ref="H80:H92" si="12">IFERROR(G80/F80-1,"-")</f>
        <v>-1.0973214383689367E-3</v>
      </c>
      <c r="I80" s="210">
        <f t="shared" ref="I80:I92" si="13">G80/G$10</f>
        <v>0.17720999046117308</v>
      </c>
    </row>
    <row r="81" spans="2:9" x14ac:dyDescent="0.25">
      <c r="B81" s="190" t="s">
        <v>99</v>
      </c>
      <c r="C81" s="191">
        <v>30530</v>
      </c>
      <c r="D81" s="191">
        <v>36680</v>
      </c>
      <c r="E81" s="191">
        <v>38459</v>
      </c>
      <c r="F81" s="191">
        <v>38667</v>
      </c>
      <c r="G81" s="191">
        <v>42063</v>
      </c>
      <c r="H81" s="192">
        <f t="shared" si="12"/>
        <v>8.7826829079059587E-2</v>
      </c>
      <c r="I81" s="192">
        <f t="shared" si="13"/>
        <v>8.1884015651462944E-2</v>
      </c>
    </row>
    <row r="82" spans="2:9" x14ac:dyDescent="0.25">
      <c r="B82" s="194" t="s">
        <v>105</v>
      </c>
      <c r="C82" s="195">
        <v>8973</v>
      </c>
      <c r="D82" s="195">
        <v>8316</v>
      </c>
      <c r="E82" s="195">
        <v>11755</v>
      </c>
      <c r="F82" s="195">
        <v>8535</v>
      </c>
      <c r="G82" s="195">
        <v>10601</v>
      </c>
      <c r="H82" s="196">
        <f t="shared" si="12"/>
        <v>0.24206209724663141</v>
      </c>
      <c r="I82" s="196">
        <f t="shared" si="13"/>
        <v>2.0636960034261909E-2</v>
      </c>
    </row>
    <row r="83" spans="2:9" x14ac:dyDescent="0.25">
      <c r="B83" s="194" t="s">
        <v>102</v>
      </c>
      <c r="C83" s="195">
        <v>21557</v>
      </c>
      <c r="D83" s="195">
        <v>28364</v>
      </c>
      <c r="E83" s="195">
        <v>26704</v>
      </c>
      <c r="F83" s="195">
        <v>30132</v>
      </c>
      <c r="G83" s="195">
        <v>31462</v>
      </c>
      <c r="H83" s="196">
        <f t="shared" si="12"/>
        <v>4.4139121200053033E-2</v>
      </c>
      <c r="I83" s="196">
        <f t="shared" si="13"/>
        <v>6.1247055617201035E-2</v>
      </c>
    </row>
    <row r="84" spans="2:9" x14ac:dyDescent="0.25">
      <c r="B84" s="190" t="s">
        <v>109</v>
      </c>
      <c r="C84" s="191">
        <v>24867</v>
      </c>
      <c r="D84" s="191">
        <v>34996</v>
      </c>
      <c r="E84" s="191">
        <v>44712</v>
      </c>
      <c r="F84" s="191">
        <v>52464</v>
      </c>
      <c r="G84" s="191">
        <v>48968</v>
      </c>
      <c r="H84" s="192">
        <f t="shared" si="12"/>
        <v>-6.6636169563891401E-2</v>
      </c>
      <c r="I84" s="192">
        <f t="shared" si="13"/>
        <v>9.532597480971014E-2</v>
      </c>
    </row>
    <row r="85" spans="2:9" x14ac:dyDescent="0.25">
      <c r="B85" s="194" t="s">
        <v>112</v>
      </c>
      <c r="C85" s="195">
        <v>2422</v>
      </c>
      <c r="D85" s="195">
        <v>7553</v>
      </c>
      <c r="E85" s="195">
        <v>11321</v>
      </c>
      <c r="F85" s="195">
        <v>13030</v>
      </c>
      <c r="G85" s="195">
        <v>13453</v>
      </c>
      <c r="H85" s="196">
        <f t="shared" si="12"/>
        <v>3.2463545663852678E-2</v>
      </c>
      <c r="I85" s="196">
        <f t="shared" si="13"/>
        <v>2.6188946640970236E-2</v>
      </c>
    </row>
    <row r="86" spans="2:9" x14ac:dyDescent="0.25">
      <c r="B86" s="194" t="s">
        <v>115</v>
      </c>
      <c r="C86" s="195">
        <v>8104</v>
      </c>
      <c r="D86" s="195">
        <v>11169</v>
      </c>
      <c r="E86" s="195">
        <v>11398</v>
      </c>
      <c r="F86" s="195">
        <v>12402</v>
      </c>
      <c r="G86" s="195">
        <v>11313</v>
      </c>
      <c r="H86" s="196">
        <f t="shared" si="12"/>
        <v>-8.7808417997097266E-2</v>
      </c>
      <c r="I86" s="196">
        <f t="shared" si="13"/>
        <v>2.2023009986567775E-2</v>
      </c>
    </row>
    <row r="87" spans="2:9" x14ac:dyDescent="0.25">
      <c r="B87" s="194" t="s">
        <v>118</v>
      </c>
      <c r="C87" s="195">
        <v>2405</v>
      </c>
      <c r="D87" s="195">
        <v>2802</v>
      </c>
      <c r="E87" s="195">
        <v>4299</v>
      </c>
      <c r="F87" s="195">
        <v>5249</v>
      </c>
      <c r="G87" s="195">
        <v>4917</v>
      </c>
      <c r="H87" s="196">
        <f t="shared" si="12"/>
        <v>-6.3250142884358929E-2</v>
      </c>
      <c r="I87" s="196">
        <f t="shared" si="13"/>
        <v>9.5719208082695791E-3</v>
      </c>
    </row>
    <row r="88" spans="2:9" x14ac:dyDescent="0.25">
      <c r="B88" s="194" t="s">
        <v>125</v>
      </c>
      <c r="C88" s="195">
        <v>825</v>
      </c>
      <c r="D88" s="195">
        <v>1068</v>
      </c>
      <c r="E88" s="195">
        <v>1572</v>
      </c>
      <c r="F88" s="195">
        <v>2152</v>
      </c>
      <c r="G88" s="195">
        <v>1602</v>
      </c>
      <c r="H88" s="196">
        <f t="shared" si="12"/>
        <v>-0.25557620817843862</v>
      </c>
      <c r="I88" s="196">
        <f t="shared" si="13"/>
        <v>3.1186123926881973E-3</v>
      </c>
    </row>
    <row r="89" spans="2:9" x14ac:dyDescent="0.25">
      <c r="B89" s="194" t="s">
        <v>121</v>
      </c>
      <c r="C89" s="195">
        <v>961</v>
      </c>
      <c r="D89" s="195">
        <v>552</v>
      </c>
      <c r="E89" s="195">
        <v>787</v>
      </c>
      <c r="F89" s="195">
        <v>972</v>
      </c>
      <c r="G89" s="195">
        <v>1112</v>
      </c>
      <c r="H89" s="196">
        <f t="shared" si="12"/>
        <v>0.14403292181069949</v>
      </c>
      <c r="I89" s="196">
        <f t="shared" si="13"/>
        <v>2.1647297007923068E-3</v>
      </c>
    </row>
    <row r="90" spans="2:9" x14ac:dyDescent="0.25">
      <c r="B90" s="194" t="s">
        <v>130</v>
      </c>
      <c r="C90" s="195">
        <v>123</v>
      </c>
      <c r="D90" s="195">
        <v>258</v>
      </c>
      <c r="E90" s="195">
        <v>141</v>
      </c>
      <c r="F90" s="195">
        <v>224</v>
      </c>
      <c r="G90" s="195">
        <v>299</v>
      </c>
      <c r="H90" s="196">
        <f t="shared" si="12"/>
        <v>0.3348214285714286</v>
      </c>
      <c r="I90" s="196">
        <f t="shared" si="13"/>
        <v>5.8206311199361486E-4</v>
      </c>
    </row>
    <row r="91" spans="2:9" x14ac:dyDescent="0.25">
      <c r="B91" s="194" t="s">
        <v>133</v>
      </c>
      <c r="C91" s="195">
        <v>85</v>
      </c>
      <c r="D91" s="195">
        <v>186</v>
      </c>
      <c r="E91" s="195">
        <v>123</v>
      </c>
      <c r="F91" s="195">
        <v>182</v>
      </c>
      <c r="G91" s="195">
        <v>96</v>
      </c>
      <c r="H91" s="196">
        <f t="shared" si="12"/>
        <v>-0.47252747252747251</v>
      </c>
      <c r="I91" s="196">
        <f t="shared" si="13"/>
        <v>1.868831396367459E-4</v>
      </c>
    </row>
    <row r="92" spans="2:9" x14ac:dyDescent="0.25">
      <c r="B92" s="199" t="s">
        <v>147</v>
      </c>
      <c r="C92" s="200">
        <f>C84-SUM(C85:C91)</f>
        <v>9942</v>
      </c>
      <c r="D92" s="200">
        <f>D84-SUM(D85:D91)</f>
        <v>11408</v>
      </c>
      <c r="E92" s="200">
        <f>E84-SUM(E85:E91)</f>
        <v>15071</v>
      </c>
      <c r="F92" s="200">
        <f>F84-SUM(F85:F91)</f>
        <v>18253</v>
      </c>
      <c r="G92" s="200">
        <f>G84-SUM(G85:G91)</f>
        <v>16176</v>
      </c>
      <c r="H92" s="201">
        <f t="shared" si="12"/>
        <v>-0.1137895140524845</v>
      </c>
      <c r="I92" s="201">
        <f t="shared" si="13"/>
        <v>3.1489809028791685E-2</v>
      </c>
    </row>
    <row r="93" spans="2:9" x14ac:dyDescent="0.25">
      <c r="B93" s="186" t="s">
        <v>51</v>
      </c>
      <c r="C93" s="207"/>
      <c r="D93" s="207"/>
      <c r="E93" s="207"/>
      <c r="F93" s="207"/>
      <c r="G93" s="207"/>
      <c r="H93" s="208"/>
      <c r="I93" s="208"/>
    </row>
    <row r="94" spans="2:9" x14ac:dyDescent="0.25">
      <c r="B94" s="187" t="s">
        <v>70</v>
      </c>
      <c r="C94" s="209">
        <v>3996</v>
      </c>
      <c r="D94" s="209">
        <v>4766</v>
      </c>
      <c r="E94" s="209">
        <v>4736</v>
      </c>
      <c r="F94" s="209">
        <v>5250</v>
      </c>
      <c r="G94" s="209">
        <v>4564</v>
      </c>
      <c r="H94" s="210">
        <f t="shared" ref="H94:H106" si="14">IFERROR(G94/F94-1,"-")</f>
        <v>-0.13066666666666671</v>
      </c>
      <c r="I94" s="210">
        <f t="shared" ref="I94:I106" si="15">G94/G$10</f>
        <v>8.8847359302302951E-3</v>
      </c>
    </row>
    <row r="95" spans="2:9" x14ac:dyDescent="0.25">
      <c r="B95" s="190" t="s">
        <v>99</v>
      </c>
      <c r="C95" s="191">
        <v>3108</v>
      </c>
      <c r="D95" s="191">
        <v>3605</v>
      </c>
      <c r="E95" s="191">
        <v>3460</v>
      </c>
      <c r="F95" s="191">
        <v>4146</v>
      </c>
      <c r="G95" s="191">
        <v>3321</v>
      </c>
      <c r="H95" s="192">
        <f t="shared" si="14"/>
        <v>-0.19898697539797394</v>
      </c>
      <c r="I95" s="192">
        <f t="shared" si="15"/>
        <v>6.464988611808678E-3</v>
      </c>
    </row>
    <row r="96" spans="2:9" x14ac:dyDescent="0.25">
      <c r="B96" s="194" t="s">
        <v>105</v>
      </c>
      <c r="C96" s="195">
        <v>1461</v>
      </c>
      <c r="D96" s="195">
        <v>1690</v>
      </c>
      <c r="E96" s="195">
        <v>945</v>
      </c>
      <c r="F96" s="195">
        <v>1760</v>
      </c>
      <c r="G96" s="195">
        <v>1097</v>
      </c>
      <c r="H96" s="196">
        <f t="shared" si="14"/>
        <v>-0.37670454545454546</v>
      </c>
      <c r="I96" s="196">
        <f t="shared" si="15"/>
        <v>2.1355292102240653E-3</v>
      </c>
    </row>
    <row r="97" spans="2:9" x14ac:dyDescent="0.25">
      <c r="B97" s="194" t="s">
        <v>102</v>
      </c>
      <c r="C97" s="195">
        <v>1647</v>
      </c>
      <c r="D97" s="195">
        <v>1915</v>
      </c>
      <c r="E97" s="195">
        <v>2515</v>
      </c>
      <c r="F97" s="195">
        <v>2386</v>
      </c>
      <c r="G97" s="195">
        <v>2224</v>
      </c>
      <c r="H97" s="196">
        <f t="shared" si="14"/>
        <v>-6.7896060352053644E-2</v>
      </c>
      <c r="I97" s="196">
        <f t="shared" si="15"/>
        <v>4.3294594015846136E-3</v>
      </c>
    </row>
    <row r="98" spans="2:9" x14ac:dyDescent="0.25">
      <c r="B98" s="190" t="s">
        <v>109</v>
      </c>
      <c r="C98" s="191">
        <v>888</v>
      </c>
      <c r="D98" s="191">
        <v>1161</v>
      </c>
      <c r="E98" s="191">
        <v>1276</v>
      </c>
      <c r="F98" s="191">
        <v>1104</v>
      </c>
      <c r="G98" s="191">
        <v>1243</v>
      </c>
      <c r="H98" s="192">
        <f t="shared" si="14"/>
        <v>0.12590579710144922</v>
      </c>
      <c r="I98" s="192">
        <f t="shared" si="15"/>
        <v>2.4197473184216162E-3</v>
      </c>
    </row>
    <row r="99" spans="2:9" x14ac:dyDescent="0.25">
      <c r="B99" s="194" t="s">
        <v>112</v>
      </c>
      <c r="C99" s="195">
        <v>81</v>
      </c>
      <c r="D99" s="195">
        <v>179</v>
      </c>
      <c r="E99" s="195">
        <v>167</v>
      </c>
      <c r="F99" s="195">
        <v>134</v>
      </c>
      <c r="G99" s="195">
        <v>118</v>
      </c>
      <c r="H99" s="196">
        <f t="shared" si="14"/>
        <v>-0.11940298507462688</v>
      </c>
      <c r="I99" s="196">
        <f t="shared" si="15"/>
        <v>2.2971052580350015E-4</v>
      </c>
    </row>
    <row r="100" spans="2:9" x14ac:dyDescent="0.25">
      <c r="B100" s="194" t="s">
        <v>115</v>
      </c>
      <c r="C100" s="195">
        <v>227</v>
      </c>
      <c r="D100" s="195">
        <v>257</v>
      </c>
      <c r="E100" s="195">
        <v>257</v>
      </c>
      <c r="F100" s="195">
        <v>258</v>
      </c>
      <c r="G100" s="195">
        <v>235</v>
      </c>
      <c r="H100" s="196">
        <f t="shared" si="14"/>
        <v>-8.9147286821705474E-2</v>
      </c>
      <c r="I100" s="196">
        <f t="shared" si="15"/>
        <v>4.5747435223578425E-4</v>
      </c>
    </row>
    <row r="101" spans="2:9" x14ac:dyDescent="0.25">
      <c r="B101" s="194" t="s">
        <v>118</v>
      </c>
      <c r="C101" s="195">
        <v>188</v>
      </c>
      <c r="D101" s="195">
        <v>162</v>
      </c>
      <c r="E101" s="195">
        <v>224</v>
      </c>
      <c r="F101" s="195">
        <v>166</v>
      </c>
      <c r="G101" s="195">
        <v>212</v>
      </c>
      <c r="H101" s="196">
        <f t="shared" si="14"/>
        <v>0.27710843373493965</v>
      </c>
      <c r="I101" s="196">
        <f t="shared" si="15"/>
        <v>4.1270026669781385E-4</v>
      </c>
    </row>
    <row r="102" spans="2:9" x14ac:dyDescent="0.25">
      <c r="B102" s="194" t="s">
        <v>125</v>
      </c>
      <c r="C102" s="195">
        <v>46</v>
      </c>
      <c r="D102" s="195">
        <v>73</v>
      </c>
      <c r="E102" s="195">
        <v>44</v>
      </c>
      <c r="F102" s="195">
        <v>36</v>
      </c>
      <c r="G102" s="195">
        <v>24</v>
      </c>
      <c r="H102" s="196">
        <f t="shared" si="14"/>
        <v>-0.33333333333333337</v>
      </c>
      <c r="I102" s="196">
        <f t="shared" si="15"/>
        <v>4.6720784909186474E-5</v>
      </c>
    </row>
    <row r="103" spans="2:9" x14ac:dyDescent="0.25">
      <c r="B103" s="194" t="s">
        <v>121</v>
      </c>
      <c r="C103" s="195">
        <v>37</v>
      </c>
      <c r="D103" s="195">
        <v>34</v>
      </c>
      <c r="E103" s="195">
        <v>45</v>
      </c>
      <c r="F103" s="195">
        <v>46</v>
      </c>
      <c r="G103" s="195">
        <v>49</v>
      </c>
      <c r="H103" s="196">
        <f t="shared" si="14"/>
        <v>6.5217391304347894E-2</v>
      </c>
      <c r="I103" s="196">
        <f t="shared" si="15"/>
        <v>9.5388269189589052E-5</v>
      </c>
    </row>
    <row r="104" spans="2:9" x14ac:dyDescent="0.25">
      <c r="B104" s="194" t="s">
        <v>130</v>
      </c>
      <c r="C104" s="195">
        <v>1</v>
      </c>
      <c r="D104" s="195">
        <v>9</v>
      </c>
      <c r="E104" s="195">
        <v>4</v>
      </c>
      <c r="F104" s="195">
        <v>13</v>
      </c>
      <c r="G104" s="195">
        <v>2</v>
      </c>
      <c r="H104" s="196">
        <f t="shared" si="14"/>
        <v>-0.84615384615384615</v>
      </c>
      <c r="I104" s="196">
        <f t="shared" si="15"/>
        <v>3.8933987424322059E-6</v>
      </c>
    </row>
    <row r="105" spans="2:9" x14ac:dyDescent="0.25">
      <c r="B105" s="194" t="s">
        <v>133</v>
      </c>
      <c r="C105" s="195">
        <v>10</v>
      </c>
      <c r="D105" s="195">
        <v>6</v>
      </c>
      <c r="E105" s="195">
        <v>14</v>
      </c>
      <c r="F105" s="195">
        <v>10</v>
      </c>
      <c r="G105" s="195">
        <v>6</v>
      </c>
      <c r="H105" s="196">
        <f t="shared" si="14"/>
        <v>-0.4</v>
      </c>
      <c r="I105" s="196">
        <f t="shared" si="15"/>
        <v>1.1680196227296619E-5</v>
      </c>
    </row>
    <row r="106" spans="2:9" x14ac:dyDescent="0.25">
      <c r="B106" s="199" t="s">
        <v>147</v>
      </c>
      <c r="C106" s="200">
        <f>C98-SUM(C99:C105)</f>
        <v>298</v>
      </c>
      <c r="D106" s="200">
        <f>D98-SUM(D99:D105)</f>
        <v>441</v>
      </c>
      <c r="E106" s="200">
        <f>E98-SUM(E99:E105)</f>
        <v>521</v>
      </c>
      <c r="F106" s="200">
        <f>F98-SUM(F99:F105)</f>
        <v>441</v>
      </c>
      <c r="G106" s="200">
        <f>G98-SUM(G99:G105)</f>
        <v>597</v>
      </c>
      <c r="H106" s="201">
        <f t="shared" si="14"/>
        <v>0.3537414965986394</v>
      </c>
      <c r="I106" s="201">
        <f t="shared" si="15"/>
        <v>1.1621795246160136E-3</v>
      </c>
    </row>
    <row r="107" spans="2:9" x14ac:dyDescent="0.25">
      <c r="B107" s="186" t="s">
        <v>52</v>
      </c>
      <c r="C107" s="207"/>
      <c r="D107" s="207"/>
      <c r="E107" s="207"/>
      <c r="F107" s="207"/>
      <c r="G107" s="207"/>
      <c r="H107" s="208"/>
      <c r="I107" s="208"/>
    </row>
    <row r="108" spans="2:9" x14ac:dyDescent="0.25">
      <c r="B108" s="187" t="s">
        <v>70</v>
      </c>
      <c r="C108" s="209">
        <v>15344</v>
      </c>
      <c r="D108" s="209">
        <v>20526</v>
      </c>
      <c r="E108" s="209">
        <v>22179</v>
      </c>
      <c r="F108" s="209">
        <v>24127</v>
      </c>
      <c r="G108" s="209">
        <v>21413</v>
      </c>
      <c r="H108" s="210">
        <f t="shared" ref="H108:H120" si="16">IFERROR(G108/F108-1,"-")</f>
        <v>-0.11248808388941844</v>
      </c>
      <c r="I108" s="210">
        <f t="shared" ref="I108:I120" si="17">G108/G$10</f>
        <v>4.1684673635850412E-2</v>
      </c>
    </row>
    <row r="109" spans="2:9" x14ac:dyDescent="0.25">
      <c r="B109" s="190" t="s">
        <v>99</v>
      </c>
      <c r="C109" s="191">
        <v>6535</v>
      </c>
      <c r="D109" s="191">
        <v>6601</v>
      </c>
      <c r="E109" s="191">
        <v>5808</v>
      </c>
      <c r="F109" s="191">
        <v>6215</v>
      </c>
      <c r="G109" s="191">
        <v>5799</v>
      </c>
      <c r="H109" s="192">
        <f t="shared" si="16"/>
        <v>-6.6934835076427945E-2</v>
      </c>
      <c r="I109" s="192">
        <f t="shared" si="17"/>
        <v>1.1288909653682181E-2</v>
      </c>
    </row>
    <row r="110" spans="2:9" x14ac:dyDescent="0.25">
      <c r="B110" s="194" t="s">
        <v>105</v>
      </c>
      <c r="C110" s="195">
        <v>3410</v>
      </c>
      <c r="D110" s="195">
        <v>2043</v>
      </c>
      <c r="E110" s="195">
        <v>1628</v>
      </c>
      <c r="F110" s="195">
        <v>2250</v>
      </c>
      <c r="G110" s="195">
        <v>2307</v>
      </c>
      <c r="H110" s="196">
        <f t="shared" si="16"/>
        <v>2.533333333333343E-2</v>
      </c>
      <c r="I110" s="196">
        <f t="shared" si="17"/>
        <v>4.4910354493955494E-3</v>
      </c>
    </row>
    <row r="111" spans="2:9" x14ac:dyDescent="0.25">
      <c r="B111" s="194" t="s">
        <v>102</v>
      </c>
      <c r="C111" s="195">
        <v>3125</v>
      </c>
      <c r="D111" s="195">
        <v>4558</v>
      </c>
      <c r="E111" s="195">
        <v>4180</v>
      </c>
      <c r="F111" s="195">
        <v>3965</v>
      </c>
      <c r="G111" s="195">
        <v>3492</v>
      </c>
      <c r="H111" s="196">
        <f t="shared" si="16"/>
        <v>-0.11929382093316521</v>
      </c>
      <c r="I111" s="196">
        <f t="shared" si="17"/>
        <v>6.7978742042866316E-3</v>
      </c>
    </row>
    <row r="112" spans="2:9" x14ac:dyDescent="0.25">
      <c r="B112" s="190" t="s">
        <v>109</v>
      </c>
      <c r="C112" s="191">
        <v>8809</v>
      </c>
      <c r="D112" s="191">
        <v>13925</v>
      </c>
      <c r="E112" s="191">
        <v>16371</v>
      </c>
      <c r="F112" s="191">
        <v>17912</v>
      </c>
      <c r="G112" s="191">
        <v>15614</v>
      </c>
      <c r="H112" s="192">
        <f t="shared" si="16"/>
        <v>-0.12829388119696294</v>
      </c>
      <c r="I112" s="192">
        <f t="shared" si="17"/>
        <v>3.0395763982168235E-2</v>
      </c>
    </row>
    <row r="113" spans="2:9" x14ac:dyDescent="0.25">
      <c r="B113" s="194" t="s">
        <v>112</v>
      </c>
      <c r="C113" s="195">
        <v>4493</v>
      </c>
      <c r="D113" s="195">
        <v>9251</v>
      </c>
      <c r="E113" s="195">
        <v>11562</v>
      </c>
      <c r="F113" s="195">
        <v>12021</v>
      </c>
      <c r="G113" s="195">
        <v>10281</v>
      </c>
      <c r="H113" s="196">
        <f t="shared" si="16"/>
        <v>-0.14474669328674816</v>
      </c>
      <c r="I113" s="196">
        <f t="shared" si="17"/>
        <v>2.0014016235472755E-2</v>
      </c>
    </row>
    <row r="114" spans="2:9" x14ac:dyDescent="0.25">
      <c r="B114" s="194" t="s">
        <v>115</v>
      </c>
      <c r="C114" s="195">
        <v>620</v>
      </c>
      <c r="D114" s="195">
        <v>491</v>
      </c>
      <c r="E114" s="195">
        <v>659</v>
      </c>
      <c r="F114" s="195">
        <v>606</v>
      </c>
      <c r="G114" s="195">
        <v>715</v>
      </c>
      <c r="H114" s="196">
        <f t="shared" si="16"/>
        <v>0.17986798679867988</v>
      </c>
      <c r="I114" s="196">
        <f t="shared" si="17"/>
        <v>1.3918900504195136E-3</v>
      </c>
    </row>
    <row r="115" spans="2:9" x14ac:dyDescent="0.25">
      <c r="B115" s="194" t="s">
        <v>118</v>
      </c>
      <c r="C115" s="195">
        <v>809</v>
      </c>
      <c r="D115" s="195">
        <v>997</v>
      </c>
      <c r="E115" s="195">
        <v>767</v>
      </c>
      <c r="F115" s="195">
        <v>1443</v>
      </c>
      <c r="G115" s="195">
        <v>1280</v>
      </c>
      <c r="H115" s="196">
        <f t="shared" si="16"/>
        <v>-0.11295911295911298</v>
      </c>
      <c r="I115" s="196">
        <f t="shared" si="17"/>
        <v>2.4917751951566121E-3</v>
      </c>
    </row>
    <row r="116" spans="2:9" x14ac:dyDescent="0.25">
      <c r="B116" s="194" t="s">
        <v>125</v>
      </c>
      <c r="C116" s="195">
        <v>633</v>
      </c>
      <c r="D116" s="195">
        <v>421</v>
      </c>
      <c r="E116" s="195">
        <v>453</v>
      </c>
      <c r="F116" s="195">
        <v>436</v>
      </c>
      <c r="G116" s="195">
        <v>525</v>
      </c>
      <c r="H116" s="196">
        <f t="shared" si="16"/>
        <v>0.20412844036697253</v>
      </c>
      <c r="I116" s="196">
        <f t="shared" si="17"/>
        <v>1.0220171698884541E-3</v>
      </c>
    </row>
    <row r="117" spans="2:9" x14ac:dyDescent="0.25">
      <c r="B117" s="194" t="s">
        <v>121</v>
      </c>
      <c r="C117" s="195">
        <v>676</v>
      </c>
      <c r="D117" s="195">
        <v>518</v>
      </c>
      <c r="E117" s="195">
        <v>406</v>
      </c>
      <c r="F117" s="195">
        <v>400</v>
      </c>
      <c r="G117" s="195">
        <v>309</v>
      </c>
      <c r="H117" s="196">
        <f t="shared" si="16"/>
        <v>-0.22750000000000004</v>
      </c>
      <c r="I117" s="196">
        <f t="shared" si="17"/>
        <v>6.0153010570577581E-4</v>
      </c>
    </row>
    <row r="118" spans="2:9" x14ac:dyDescent="0.25">
      <c r="B118" s="194" t="s">
        <v>130</v>
      </c>
      <c r="C118" s="195">
        <v>10</v>
      </c>
      <c r="D118" s="195">
        <v>19</v>
      </c>
      <c r="E118" s="195">
        <v>47</v>
      </c>
      <c r="F118" s="195">
        <v>13</v>
      </c>
      <c r="G118" s="195">
        <v>15</v>
      </c>
      <c r="H118" s="196">
        <f t="shared" si="16"/>
        <v>0.15384615384615374</v>
      </c>
      <c r="I118" s="196">
        <f t="shared" si="17"/>
        <v>2.9200490568241545E-5</v>
      </c>
    </row>
    <row r="119" spans="2:9" x14ac:dyDescent="0.25">
      <c r="B119" s="194" t="s">
        <v>133</v>
      </c>
      <c r="C119" s="195">
        <v>13</v>
      </c>
      <c r="D119" s="195">
        <v>8</v>
      </c>
      <c r="E119" s="195">
        <v>22</v>
      </c>
      <c r="F119" s="195">
        <v>4</v>
      </c>
      <c r="G119" s="195">
        <v>16</v>
      </c>
      <c r="H119" s="196">
        <f t="shared" si="16"/>
        <v>3</v>
      </c>
      <c r="I119" s="196">
        <f t="shared" si="17"/>
        <v>3.1147189939457647E-5</v>
      </c>
    </row>
    <row r="120" spans="2:9" x14ac:dyDescent="0.25">
      <c r="B120" s="199" t="s">
        <v>147</v>
      </c>
      <c r="C120" s="200">
        <f>C112-SUM(C113:C119)</f>
        <v>1555</v>
      </c>
      <c r="D120" s="200">
        <f>D112-SUM(D113:D119)</f>
        <v>2220</v>
      </c>
      <c r="E120" s="200">
        <f>E112-SUM(E113:E119)</f>
        <v>2455</v>
      </c>
      <c r="F120" s="200">
        <f>F112-SUM(F113:F119)</f>
        <v>2989</v>
      </c>
      <c r="G120" s="200">
        <f>G112-SUM(G113:G119)</f>
        <v>2473</v>
      </c>
      <c r="H120" s="201">
        <f t="shared" si="16"/>
        <v>-0.17263298762127799</v>
      </c>
      <c r="I120" s="201">
        <f t="shared" si="17"/>
        <v>4.8141875450174228E-3</v>
      </c>
    </row>
    <row r="121" spans="2:9" x14ac:dyDescent="0.25">
      <c r="B121" s="186" t="s">
        <v>53</v>
      </c>
      <c r="C121" s="207"/>
      <c r="D121" s="207"/>
      <c r="E121" s="207"/>
      <c r="F121" s="207"/>
      <c r="G121" s="207"/>
      <c r="H121" s="208"/>
      <c r="I121" s="208"/>
    </row>
    <row r="122" spans="2:9" x14ac:dyDescent="0.25">
      <c r="B122" s="187" t="s">
        <v>70</v>
      </c>
      <c r="C122" s="209">
        <v>16992</v>
      </c>
      <c r="D122" s="209">
        <v>20549</v>
      </c>
      <c r="E122" s="209">
        <v>16671</v>
      </c>
      <c r="F122" s="209">
        <v>20174</v>
      </c>
      <c r="G122" s="209">
        <v>22521</v>
      </c>
      <c r="H122" s="210">
        <f t="shared" ref="H122:H134" si="18">IFERROR(G122/F122-1,"-")</f>
        <v>0.11633786061266971</v>
      </c>
      <c r="I122" s="210">
        <f t="shared" ref="I122:I134" si="19">G122/G$10</f>
        <v>4.3841616539157857E-2</v>
      </c>
    </row>
    <row r="123" spans="2:9" x14ac:dyDescent="0.25">
      <c r="B123" s="190" t="s">
        <v>99</v>
      </c>
      <c r="C123" s="191">
        <v>11386</v>
      </c>
      <c r="D123" s="191">
        <v>13102</v>
      </c>
      <c r="E123" s="191">
        <v>11658</v>
      </c>
      <c r="F123" s="191">
        <v>14592</v>
      </c>
      <c r="G123" s="191">
        <v>16061</v>
      </c>
      <c r="H123" s="192">
        <f t="shared" si="18"/>
        <v>0.10067160087719307</v>
      </c>
      <c r="I123" s="192">
        <f t="shared" si="19"/>
        <v>3.1265938601101835E-2</v>
      </c>
    </row>
    <row r="124" spans="2:9" x14ac:dyDescent="0.25">
      <c r="B124" s="194" t="s">
        <v>105</v>
      </c>
      <c r="C124" s="195">
        <v>5443</v>
      </c>
      <c r="D124" s="195">
        <v>6791</v>
      </c>
      <c r="E124" s="195">
        <v>4887</v>
      </c>
      <c r="F124" s="195">
        <v>8256</v>
      </c>
      <c r="G124" s="195">
        <v>8373</v>
      </c>
      <c r="H124" s="196">
        <f t="shared" si="18"/>
        <v>1.4171511627907085E-2</v>
      </c>
      <c r="I124" s="196">
        <f t="shared" si="19"/>
        <v>1.629971383519243E-2</v>
      </c>
    </row>
    <row r="125" spans="2:9" x14ac:dyDescent="0.25">
      <c r="B125" s="194" t="s">
        <v>102</v>
      </c>
      <c r="C125" s="195">
        <v>5943</v>
      </c>
      <c r="D125" s="195">
        <v>6311</v>
      </c>
      <c r="E125" s="195">
        <v>6771</v>
      </c>
      <c r="F125" s="195">
        <v>6336</v>
      </c>
      <c r="G125" s="195">
        <v>7688</v>
      </c>
      <c r="H125" s="196">
        <f t="shared" si="18"/>
        <v>0.21338383838383845</v>
      </c>
      <c r="I125" s="196">
        <f t="shared" si="19"/>
        <v>1.49662247659094E-2</v>
      </c>
    </row>
    <row r="126" spans="2:9" x14ac:dyDescent="0.25">
      <c r="B126" s="190" t="s">
        <v>109</v>
      </c>
      <c r="C126" s="191">
        <v>5606</v>
      </c>
      <c r="D126" s="191">
        <v>7447</v>
      </c>
      <c r="E126" s="191">
        <v>5013</v>
      </c>
      <c r="F126" s="191">
        <v>5582</v>
      </c>
      <c r="G126" s="191">
        <v>6460</v>
      </c>
      <c r="H126" s="192">
        <f t="shared" si="18"/>
        <v>0.15729129344321024</v>
      </c>
      <c r="I126" s="192">
        <f t="shared" si="19"/>
        <v>1.2575677938056026E-2</v>
      </c>
    </row>
    <row r="127" spans="2:9" x14ac:dyDescent="0.25">
      <c r="B127" s="194" t="s">
        <v>112</v>
      </c>
      <c r="C127" s="195">
        <v>315</v>
      </c>
      <c r="D127" s="195">
        <v>1108</v>
      </c>
      <c r="E127" s="195">
        <v>640</v>
      </c>
      <c r="F127" s="195">
        <v>666</v>
      </c>
      <c r="G127" s="195">
        <v>638</v>
      </c>
      <c r="H127" s="196">
        <f t="shared" si="18"/>
        <v>-4.2042042042042094E-2</v>
      </c>
      <c r="I127" s="196">
        <f t="shared" si="19"/>
        <v>1.2419941988358737E-3</v>
      </c>
    </row>
    <row r="128" spans="2:9" x14ac:dyDescent="0.25">
      <c r="B128" s="194" t="s">
        <v>115</v>
      </c>
      <c r="C128" s="195">
        <v>516</v>
      </c>
      <c r="D128" s="195">
        <v>741</v>
      </c>
      <c r="E128" s="195">
        <v>618</v>
      </c>
      <c r="F128" s="195">
        <v>600</v>
      </c>
      <c r="G128" s="195">
        <v>698</v>
      </c>
      <c r="H128" s="196">
        <f t="shared" si="18"/>
        <v>0.16333333333333333</v>
      </c>
      <c r="I128" s="196">
        <f t="shared" si="19"/>
        <v>1.35879616110884E-3</v>
      </c>
    </row>
    <row r="129" spans="2:9" x14ac:dyDescent="0.25">
      <c r="B129" s="194" t="s">
        <v>118</v>
      </c>
      <c r="C129" s="195">
        <v>582</v>
      </c>
      <c r="D129" s="195">
        <v>608</v>
      </c>
      <c r="E129" s="195">
        <v>584</v>
      </c>
      <c r="F129" s="195">
        <v>657</v>
      </c>
      <c r="G129" s="195">
        <v>801</v>
      </c>
      <c r="H129" s="196">
        <f t="shared" si="18"/>
        <v>0.21917808219178081</v>
      </c>
      <c r="I129" s="196">
        <f t="shared" si="19"/>
        <v>1.5593061963440986E-3</v>
      </c>
    </row>
    <row r="130" spans="2:9" x14ac:dyDescent="0.25">
      <c r="B130" s="194" t="s">
        <v>125</v>
      </c>
      <c r="C130" s="195">
        <v>124</v>
      </c>
      <c r="D130" s="195">
        <v>212</v>
      </c>
      <c r="E130" s="195">
        <v>163</v>
      </c>
      <c r="F130" s="195">
        <v>112</v>
      </c>
      <c r="G130" s="195">
        <v>288</v>
      </c>
      <c r="H130" s="196">
        <f t="shared" si="18"/>
        <v>1.5714285714285716</v>
      </c>
      <c r="I130" s="196">
        <f t="shared" si="19"/>
        <v>5.6064941891023764E-4</v>
      </c>
    </row>
    <row r="131" spans="2:9" x14ac:dyDescent="0.25">
      <c r="B131" s="194" t="s">
        <v>121</v>
      </c>
      <c r="C131" s="195">
        <v>100</v>
      </c>
      <c r="D131" s="195">
        <v>107</v>
      </c>
      <c r="E131" s="195">
        <v>105</v>
      </c>
      <c r="F131" s="195">
        <v>147</v>
      </c>
      <c r="G131" s="195">
        <v>153</v>
      </c>
      <c r="H131" s="196">
        <f t="shared" si="18"/>
        <v>4.081632653061229E-2</v>
      </c>
      <c r="I131" s="196">
        <f t="shared" si="19"/>
        <v>2.9784500379606376E-4</v>
      </c>
    </row>
    <row r="132" spans="2:9" x14ac:dyDescent="0.25">
      <c r="B132" s="194" t="s">
        <v>130</v>
      </c>
      <c r="C132" s="195">
        <v>20</v>
      </c>
      <c r="D132" s="195">
        <v>32</v>
      </c>
      <c r="E132" s="195">
        <v>32</v>
      </c>
      <c r="F132" s="195">
        <v>24</v>
      </c>
      <c r="G132" s="195">
        <v>32</v>
      </c>
      <c r="H132" s="196">
        <f t="shared" si="18"/>
        <v>0.33333333333333326</v>
      </c>
      <c r="I132" s="196">
        <f t="shared" si="19"/>
        <v>6.2294379878915295E-5</v>
      </c>
    </row>
    <row r="133" spans="2:9" x14ac:dyDescent="0.25">
      <c r="B133" s="194" t="s">
        <v>133</v>
      </c>
      <c r="C133" s="195">
        <v>36</v>
      </c>
      <c r="D133" s="195">
        <v>34</v>
      </c>
      <c r="E133" s="195">
        <v>44</v>
      </c>
      <c r="F133" s="195">
        <v>24</v>
      </c>
      <c r="G133" s="195">
        <v>27</v>
      </c>
      <c r="H133" s="196">
        <f t="shared" si="18"/>
        <v>0.125</v>
      </c>
      <c r="I133" s="196">
        <f t="shared" si="19"/>
        <v>5.2560883022834782E-5</v>
      </c>
    </row>
    <row r="134" spans="2:9" x14ac:dyDescent="0.25">
      <c r="B134" s="199" t="s">
        <v>147</v>
      </c>
      <c r="C134" s="200">
        <f>C126-SUM(C127:C133)</f>
        <v>3913</v>
      </c>
      <c r="D134" s="200">
        <f>D126-SUM(D127:D133)</f>
        <v>4605</v>
      </c>
      <c r="E134" s="200">
        <f>E126-SUM(E127:E133)</f>
        <v>2827</v>
      </c>
      <c r="F134" s="200">
        <f>F126-SUM(F127:F133)</f>
        <v>3352</v>
      </c>
      <c r="G134" s="200">
        <f>G126-SUM(G127:G133)</f>
        <v>3823</v>
      </c>
      <c r="H134" s="201">
        <f t="shared" si="18"/>
        <v>0.14051312649164682</v>
      </c>
      <c r="I134" s="201">
        <f t="shared" si="19"/>
        <v>7.4422316961591621E-3</v>
      </c>
    </row>
    <row r="135" spans="2:9" x14ac:dyDescent="0.25">
      <c r="B135" s="186" t="s">
        <v>54</v>
      </c>
      <c r="C135" s="207"/>
      <c r="D135" s="207"/>
      <c r="E135" s="207"/>
      <c r="F135" s="207"/>
      <c r="G135" s="207"/>
      <c r="H135" s="208"/>
      <c r="I135" s="208"/>
    </row>
    <row r="136" spans="2:9" x14ac:dyDescent="0.25">
      <c r="B136" s="187" t="s">
        <v>70</v>
      </c>
      <c r="C136" s="209">
        <v>17890</v>
      </c>
      <c r="D136" s="209">
        <v>24264</v>
      </c>
      <c r="E136" s="209">
        <v>26447</v>
      </c>
      <c r="F136" s="209">
        <v>25421</v>
      </c>
      <c r="G136" s="209">
        <v>28817</v>
      </c>
      <c r="H136" s="210">
        <f t="shared" ref="H136:H148" si="20">IFERROR(G136/F136-1,"-")</f>
        <v>0.13359033869635351</v>
      </c>
      <c r="I136" s="210">
        <f t="shared" ref="I136:I148" si="21">G136/G$10</f>
        <v>5.609803578033444E-2</v>
      </c>
    </row>
    <row r="137" spans="2:9" x14ac:dyDescent="0.25">
      <c r="B137" s="190" t="s">
        <v>99</v>
      </c>
      <c r="C137" s="191">
        <v>5654</v>
      </c>
      <c r="D137" s="191">
        <v>3786</v>
      </c>
      <c r="E137" s="191">
        <v>3753</v>
      </c>
      <c r="F137" s="191">
        <v>3212</v>
      </c>
      <c r="G137" s="191">
        <v>6104</v>
      </c>
      <c r="H137" s="192">
        <f t="shared" si="20"/>
        <v>0.90037359900373604</v>
      </c>
      <c r="I137" s="192">
        <f t="shared" si="21"/>
        <v>1.1882652961903094E-2</v>
      </c>
    </row>
    <row r="138" spans="2:9" x14ac:dyDescent="0.25">
      <c r="B138" s="194" t="s">
        <v>105</v>
      </c>
      <c r="C138" s="195">
        <v>4018</v>
      </c>
      <c r="D138" s="195">
        <v>2710</v>
      </c>
      <c r="E138" s="195">
        <v>2511</v>
      </c>
      <c r="F138" s="195">
        <v>1803</v>
      </c>
      <c r="G138" s="195">
        <v>3972</v>
      </c>
      <c r="H138" s="196">
        <f t="shared" si="20"/>
        <v>1.2029950083194674</v>
      </c>
      <c r="I138" s="196">
        <f t="shared" si="21"/>
        <v>7.7322899024703613E-3</v>
      </c>
    </row>
    <row r="139" spans="2:9" x14ac:dyDescent="0.25">
      <c r="B139" s="194" t="s">
        <v>102</v>
      </c>
      <c r="C139" s="195">
        <v>1636</v>
      </c>
      <c r="D139" s="195">
        <v>1076</v>
      </c>
      <c r="E139" s="195">
        <v>1242</v>
      </c>
      <c r="F139" s="195">
        <v>1409</v>
      </c>
      <c r="G139" s="195">
        <v>2132</v>
      </c>
      <c r="H139" s="196">
        <f t="shared" si="20"/>
        <v>0.51312987934705467</v>
      </c>
      <c r="I139" s="196">
        <f t="shared" si="21"/>
        <v>4.150363059432732E-3</v>
      </c>
    </row>
    <row r="140" spans="2:9" x14ac:dyDescent="0.25">
      <c r="B140" s="190" t="s">
        <v>109</v>
      </c>
      <c r="C140" s="191">
        <v>12236</v>
      </c>
      <c r="D140" s="191">
        <v>20478</v>
      </c>
      <c r="E140" s="191">
        <v>22694</v>
      </c>
      <c r="F140" s="191">
        <v>22209</v>
      </c>
      <c r="G140" s="191">
        <v>22713</v>
      </c>
      <c r="H140" s="192">
        <f t="shared" si="20"/>
        <v>2.2693502634067331E-2</v>
      </c>
      <c r="I140" s="192">
        <f t="shared" si="21"/>
        <v>4.4215382818431348E-2</v>
      </c>
    </row>
    <row r="141" spans="2:9" x14ac:dyDescent="0.25">
      <c r="B141" s="194" t="s">
        <v>112</v>
      </c>
      <c r="C141" s="195">
        <v>3384</v>
      </c>
      <c r="D141" s="195">
        <v>10235</v>
      </c>
      <c r="E141" s="195">
        <v>11415</v>
      </c>
      <c r="F141" s="195">
        <v>11236</v>
      </c>
      <c r="G141" s="195">
        <v>11676</v>
      </c>
      <c r="H141" s="196">
        <f t="shared" si="20"/>
        <v>3.9159843360626612E-2</v>
      </c>
      <c r="I141" s="196">
        <f t="shared" si="21"/>
        <v>2.2729661858319219E-2</v>
      </c>
    </row>
    <row r="142" spans="2:9" x14ac:dyDescent="0.25">
      <c r="B142" s="194" t="s">
        <v>115</v>
      </c>
      <c r="C142" s="195">
        <v>962</v>
      </c>
      <c r="D142" s="195">
        <v>1370</v>
      </c>
      <c r="E142" s="195">
        <v>1837</v>
      </c>
      <c r="F142" s="195">
        <v>1470</v>
      </c>
      <c r="G142" s="195">
        <v>1795</v>
      </c>
      <c r="H142" s="196">
        <f t="shared" si="20"/>
        <v>0.22108843537414957</v>
      </c>
      <c r="I142" s="196">
        <f t="shared" si="21"/>
        <v>3.4943253713329049E-3</v>
      </c>
    </row>
    <row r="143" spans="2:9" x14ac:dyDescent="0.25">
      <c r="B143" s="194" t="s">
        <v>118</v>
      </c>
      <c r="C143" s="195">
        <v>1404</v>
      </c>
      <c r="D143" s="195">
        <v>1920</v>
      </c>
      <c r="E143" s="195">
        <v>2346</v>
      </c>
      <c r="F143" s="195">
        <v>1937</v>
      </c>
      <c r="G143" s="195">
        <v>1941</v>
      </c>
      <c r="H143" s="196">
        <f t="shared" si="20"/>
        <v>2.0650490449147796E-3</v>
      </c>
      <c r="I143" s="196">
        <f t="shared" si="21"/>
        <v>3.7785434795304562E-3</v>
      </c>
    </row>
    <row r="144" spans="2:9" x14ac:dyDescent="0.25">
      <c r="B144" s="194" t="s">
        <v>125</v>
      </c>
      <c r="C144" s="195">
        <v>724</v>
      </c>
      <c r="D144" s="195">
        <v>961</v>
      </c>
      <c r="E144" s="195">
        <v>1021</v>
      </c>
      <c r="F144" s="195">
        <v>533</v>
      </c>
      <c r="G144" s="195">
        <v>535</v>
      </c>
      <c r="H144" s="196">
        <f t="shared" si="20"/>
        <v>3.7523452157599557E-3</v>
      </c>
      <c r="I144" s="196">
        <f t="shared" si="21"/>
        <v>1.0414841636006151E-3</v>
      </c>
    </row>
    <row r="145" spans="2:9" x14ac:dyDescent="0.25">
      <c r="B145" s="194" t="s">
        <v>121</v>
      </c>
      <c r="C145" s="195">
        <v>592</v>
      </c>
      <c r="D145" s="195">
        <v>363</v>
      </c>
      <c r="E145" s="195">
        <v>402</v>
      </c>
      <c r="F145" s="195">
        <v>269</v>
      </c>
      <c r="G145" s="195">
        <v>261</v>
      </c>
      <c r="H145" s="196">
        <f t="shared" si="20"/>
        <v>-2.9739776951672847E-2</v>
      </c>
      <c r="I145" s="196">
        <f t="shared" si="21"/>
        <v>5.0808853588740288E-4</v>
      </c>
    </row>
    <row r="146" spans="2:9" x14ac:dyDescent="0.25">
      <c r="B146" s="194" t="s">
        <v>130</v>
      </c>
      <c r="C146" s="195">
        <v>3</v>
      </c>
      <c r="D146" s="195">
        <v>22</v>
      </c>
      <c r="E146" s="195">
        <v>12</v>
      </c>
      <c r="F146" s="195">
        <v>12</v>
      </c>
      <c r="G146" s="195">
        <v>22</v>
      </c>
      <c r="H146" s="196">
        <f t="shared" si="20"/>
        <v>0.83333333333333326</v>
      </c>
      <c r="I146" s="196">
        <f t="shared" si="21"/>
        <v>4.2827386166754269E-5</v>
      </c>
    </row>
    <row r="147" spans="2:9" x14ac:dyDescent="0.25">
      <c r="B147" s="194" t="s">
        <v>133</v>
      </c>
      <c r="C147" s="195">
        <v>0</v>
      </c>
      <c r="D147" s="195">
        <v>3</v>
      </c>
      <c r="E147" s="195">
        <v>11</v>
      </c>
      <c r="F147" s="195">
        <v>12</v>
      </c>
      <c r="G147" s="195">
        <v>7</v>
      </c>
      <c r="H147" s="196">
        <f t="shared" si="20"/>
        <v>-0.41666666666666663</v>
      </c>
      <c r="I147" s="196">
        <f t="shared" si="21"/>
        <v>1.3626895598512721E-5</v>
      </c>
    </row>
    <row r="148" spans="2:9" x14ac:dyDescent="0.25">
      <c r="B148" s="199" t="s">
        <v>147</v>
      </c>
      <c r="C148" s="200">
        <f>C140-SUM(C141:C147)</f>
        <v>5167</v>
      </c>
      <c r="D148" s="200">
        <f>D140-SUM(D141:D147)</f>
        <v>5604</v>
      </c>
      <c r="E148" s="200">
        <f>E140-SUM(E141:E147)</f>
        <v>5650</v>
      </c>
      <c r="F148" s="200">
        <f>F140-SUM(F141:F147)</f>
        <v>6740</v>
      </c>
      <c r="G148" s="200">
        <f>G140-SUM(G141:G147)</f>
        <v>6476</v>
      </c>
      <c r="H148" s="201">
        <f t="shared" si="20"/>
        <v>-3.9169139465875413E-2</v>
      </c>
      <c r="I148" s="201">
        <f t="shared" si="21"/>
        <v>1.2606825127995484E-2</v>
      </c>
    </row>
    <row r="149" spans="2:9" x14ac:dyDescent="0.25">
      <c r="B149" s="186" t="s">
        <v>55</v>
      </c>
      <c r="C149" s="207"/>
      <c r="D149" s="207"/>
      <c r="E149" s="207"/>
      <c r="F149" s="207"/>
      <c r="G149" s="207"/>
      <c r="H149" s="208"/>
      <c r="I149" s="208"/>
    </row>
    <row r="150" spans="2:9" x14ac:dyDescent="0.25">
      <c r="B150" s="187" t="s">
        <v>70</v>
      </c>
      <c r="C150" s="209">
        <v>8589</v>
      </c>
      <c r="D150" s="209">
        <v>10300</v>
      </c>
      <c r="E150" s="209">
        <v>11494</v>
      </c>
      <c r="F150" s="209">
        <v>12467</v>
      </c>
      <c r="G150" s="209">
        <v>12781</v>
      </c>
      <c r="H150" s="210">
        <f t="shared" ref="H150:H162" si="22">IFERROR(G150/F150-1,"-")</f>
        <v>2.51864923397771E-2</v>
      </c>
      <c r="I150" s="210">
        <f t="shared" ref="I150:I162" si="23">G150/G$10</f>
        <v>2.4880764663513015E-2</v>
      </c>
    </row>
    <row r="151" spans="2:9" x14ac:dyDescent="0.25">
      <c r="B151" s="190" t="s">
        <v>99</v>
      </c>
      <c r="C151" s="191">
        <v>4764</v>
      </c>
      <c r="D151" s="191">
        <v>5825</v>
      </c>
      <c r="E151" s="191">
        <v>5944</v>
      </c>
      <c r="F151" s="191">
        <v>5979</v>
      </c>
      <c r="G151" s="191">
        <v>5921</v>
      </c>
      <c r="H151" s="192">
        <f t="shared" si="22"/>
        <v>-9.7006188325806653E-3</v>
      </c>
      <c r="I151" s="192">
        <f t="shared" si="23"/>
        <v>1.1526406976970546E-2</v>
      </c>
    </row>
    <row r="152" spans="2:9" x14ac:dyDescent="0.25">
      <c r="B152" s="194" t="s">
        <v>105</v>
      </c>
      <c r="C152" s="195">
        <v>3633</v>
      </c>
      <c r="D152" s="195">
        <v>4633</v>
      </c>
      <c r="E152" s="195">
        <v>4708</v>
      </c>
      <c r="F152" s="195">
        <v>4154</v>
      </c>
      <c r="G152" s="195">
        <v>3604</v>
      </c>
      <c r="H152" s="196">
        <f t="shared" si="22"/>
        <v>-0.13240250361097738</v>
      </c>
      <c r="I152" s="196">
        <f t="shared" si="23"/>
        <v>7.0159045338628358E-3</v>
      </c>
    </row>
    <row r="153" spans="2:9" x14ac:dyDescent="0.25">
      <c r="B153" s="194" t="s">
        <v>102</v>
      </c>
      <c r="C153" s="195">
        <v>1131</v>
      </c>
      <c r="D153" s="195">
        <v>1192</v>
      </c>
      <c r="E153" s="195">
        <v>1236</v>
      </c>
      <c r="F153" s="195">
        <v>1825</v>
      </c>
      <c r="G153" s="195">
        <v>2317</v>
      </c>
      <c r="H153" s="196">
        <f t="shared" si="22"/>
        <v>0.26958904109589032</v>
      </c>
      <c r="I153" s="196">
        <f t="shared" si="23"/>
        <v>4.5105024431077107E-3</v>
      </c>
    </row>
    <row r="154" spans="2:9" x14ac:dyDescent="0.25">
      <c r="B154" s="190" t="s">
        <v>109</v>
      </c>
      <c r="C154" s="191">
        <v>3825</v>
      </c>
      <c r="D154" s="191">
        <v>4475</v>
      </c>
      <c r="E154" s="191">
        <v>5550</v>
      </c>
      <c r="F154" s="191">
        <v>6488</v>
      </c>
      <c r="G154" s="191">
        <v>6860</v>
      </c>
      <c r="H154" s="192">
        <f t="shared" si="22"/>
        <v>5.7336621454993741E-2</v>
      </c>
      <c r="I154" s="192">
        <f t="shared" si="23"/>
        <v>1.3354357686542468E-2</v>
      </c>
    </row>
    <row r="155" spans="2:9" x14ac:dyDescent="0.25">
      <c r="B155" s="194" t="s">
        <v>112</v>
      </c>
      <c r="C155" s="195">
        <v>766</v>
      </c>
      <c r="D155" s="195">
        <v>1725</v>
      </c>
      <c r="E155" s="195">
        <v>1527</v>
      </c>
      <c r="F155" s="195">
        <v>1789</v>
      </c>
      <c r="G155" s="195">
        <v>1564</v>
      </c>
      <c r="H155" s="196">
        <f t="shared" si="22"/>
        <v>-0.12576858580212413</v>
      </c>
      <c r="I155" s="196">
        <f t="shared" si="23"/>
        <v>3.0446378165819854E-3</v>
      </c>
    </row>
    <row r="156" spans="2:9" x14ac:dyDescent="0.25">
      <c r="B156" s="194" t="s">
        <v>115</v>
      </c>
      <c r="C156" s="195">
        <v>931</v>
      </c>
      <c r="D156" s="195">
        <v>786</v>
      </c>
      <c r="E156" s="195">
        <v>987</v>
      </c>
      <c r="F156" s="195">
        <v>875</v>
      </c>
      <c r="G156" s="195">
        <v>935</v>
      </c>
      <c r="H156" s="196">
        <f t="shared" si="22"/>
        <v>6.8571428571428505E-2</v>
      </c>
      <c r="I156" s="196">
        <f t="shared" si="23"/>
        <v>1.8201639120870563E-3</v>
      </c>
    </row>
    <row r="157" spans="2:9" x14ac:dyDescent="0.25">
      <c r="B157" s="194" t="s">
        <v>118</v>
      </c>
      <c r="C157" s="195">
        <v>542</v>
      </c>
      <c r="D157" s="195">
        <v>630</v>
      </c>
      <c r="E157" s="195">
        <v>1092</v>
      </c>
      <c r="F157" s="195">
        <v>1312</v>
      </c>
      <c r="G157" s="195">
        <v>1971</v>
      </c>
      <c r="H157" s="196">
        <f t="shared" si="22"/>
        <v>0.50228658536585358</v>
      </c>
      <c r="I157" s="196">
        <f t="shared" si="23"/>
        <v>3.8369444606669392E-3</v>
      </c>
    </row>
    <row r="158" spans="2:9" x14ac:dyDescent="0.25">
      <c r="B158" s="194" t="s">
        <v>125</v>
      </c>
      <c r="C158" s="195">
        <v>90</v>
      </c>
      <c r="D158" s="195">
        <v>111</v>
      </c>
      <c r="E158" s="195">
        <v>168</v>
      </c>
      <c r="F158" s="195">
        <v>245</v>
      </c>
      <c r="G158" s="195">
        <v>189</v>
      </c>
      <c r="H158" s="196">
        <f t="shared" si="22"/>
        <v>-0.22857142857142854</v>
      </c>
      <c r="I158" s="196">
        <f t="shared" si="23"/>
        <v>3.679261811598435E-4</v>
      </c>
    </row>
    <row r="159" spans="2:9" x14ac:dyDescent="0.25">
      <c r="B159" s="194" t="s">
        <v>121</v>
      </c>
      <c r="C159" s="195">
        <v>217</v>
      </c>
      <c r="D159" s="195">
        <v>302</v>
      </c>
      <c r="E159" s="195">
        <v>285</v>
      </c>
      <c r="F159" s="195">
        <v>452</v>
      </c>
      <c r="G159" s="195">
        <v>252</v>
      </c>
      <c r="H159" s="196">
        <f t="shared" si="22"/>
        <v>-0.44247787610619471</v>
      </c>
      <c r="I159" s="196">
        <f t="shared" si="23"/>
        <v>4.90568241546458E-4</v>
      </c>
    </row>
    <row r="160" spans="2:9" x14ac:dyDescent="0.25">
      <c r="B160" s="194" t="s">
        <v>130</v>
      </c>
      <c r="C160" s="195">
        <v>7</v>
      </c>
      <c r="D160" s="195">
        <v>11</v>
      </c>
      <c r="E160" s="195">
        <v>13</v>
      </c>
      <c r="F160" s="195">
        <v>15</v>
      </c>
      <c r="G160" s="195">
        <v>13</v>
      </c>
      <c r="H160" s="196">
        <f t="shared" si="22"/>
        <v>-0.1333333333333333</v>
      </c>
      <c r="I160" s="196">
        <f t="shared" si="23"/>
        <v>2.530709182580934E-5</v>
      </c>
    </row>
    <row r="161" spans="2:9" x14ac:dyDescent="0.25">
      <c r="B161" s="194" t="s">
        <v>133</v>
      </c>
      <c r="C161" s="195">
        <v>10</v>
      </c>
      <c r="D161" s="195">
        <v>6</v>
      </c>
      <c r="E161" s="195">
        <v>23</v>
      </c>
      <c r="F161" s="195">
        <v>7</v>
      </c>
      <c r="G161" s="195">
        <v>4</v>
      </c>
      <c r="H161" s="196">
        <f t="shared" si="22"/>
        <v>-0.4285714285714286</v>
      </c>
      <c r="I161" s="196">
        <f t="shared" si="23"/>
        <v>7.7867974848644119E-6</v>
      </c>
    </row>
    <row r="162" spans="2:9" x14ac:dyDescent="0.25">
      <c r="B162" s="199" t="s">
        <v>147</v>
      </c>
      <c r="C162" s="200">
        <f>C154-SUM(C155:C161)</f>
        <v>1262</v>
      </c>
      <c r="D162" s="200">
        <f>D154-SUM(D155:D161)</f>
        <v>904</v>
      </c>
      <c r="E162" s="200">
        <f>E154-SUM(E155:E161)</f>
        <v>1455</v>
      </c>
      <c r="F162" s="200">
        <f>F154-SUM(F155:F161)</f>
        <v>1793</v>
      </c>
      <c r="G162" s="200">
        <f>G154-SUM(G155:G161)</f>
        <v>1932</v>
      </c>
      <c r="H162" s="201">
        <f t="shared" si="22"/>
        <v>7.7523703290574453E-2</v>
      </c>
      <c r="I162" s="201">
        <f t="shared" si="23"/>
        <v>3.7610231851895114E-3</v>
      </c>
    </row>
    <row r="163" spans="2:9" x14ac:dyDescent="0.25">
      <c r="C163" s="103"/>
      <c r="D163" s="103"/>
      <c r="E163" s="103"/>
      <c r="F163" s="103"/>
      <c r="G163" s="103"/>
      <c r="H163" s="103"/>
    </row>
    <row r="164" spans="2:9" x14ac:dyDescent="0.25">
      <c r="B164" s="131" t="s">
        <v>57</v>
      </c>
      <c r="C164" s="131"/>
      <c r="D164" s="131"/>
      <c r="E164" s="131"/>
      <c r="F164" s="131"/>
      <c r="G164" s="131"/>
      <c r="H164" s="131"/>
      <c r="I164" s="131"/>
    </row>
  </sheetData>
  <mergeCells count="3">
    <mergeCell ref="B5:I5"/>
    <mergeCell ref="K5:R5"/>
    <mergeCell ref="C7:I7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06895-FF7A-4039-AB06-1DA276EE1354}">
  <sheetPr>
    <tabColor rgb="FFFFC000"/>
    <pageSetUpPr fitToPage="1"/>
  </sheetPr>
  <dimension ref="A1:X163"/>
  <sheetViews>
    <sheetView showGridLines="0" workbookViewId="0">
      <selection activeCell="G10" sqref="G10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3" customWidth="1"/>
    <col min="10" max="10" width="10.5703125" customWidth="1"/>
    <col min="11" max="11" width="11.5703125" customWidth="1"/>
    <col min="12" max="12" width="10.5703125" customWidth="1"/>
    <col min="14" max="14" width="11.42578125" customWidth="1"/>
    <col min="15" max="24" width="11.42578125" hidden="1" customWidth="1"/>
  </cols>
  <sheetData>
    <row r="1" spans="1:24" ht="42.75" customHeight="1" x14ac:dyDescent="0.25"/>
    <row r="4" spans="1:24" ht="42" customHeight="1" thickBot="1" x14ac:dyDescent="0.3">
      <c r="B4" s="12" t="str">
        <f>CONCATENATE("Viajeros alojados en los establecimientos alojativos de Tenerife según lugar de residencia y municipio de alojamiento (hotel + apartamento)")</f>
        <v>Viajeros alojados en los establecimientos alojativos de Tenerife según lugar de residencia y municipio de alojamiento (hotel + apartamento)</v>
      </c>
      <c r="C4" s="12"/>
      <c r="D4" s="12"/>
      <c r="E4" s="12"/>
      <c r="F4" s="12"/>
      <c r="G4" s="12"/>
      <c r="H4" s="12"/>
      <c r="I4" s="12"/>
      <c r="J4" s="12"/>
      <c r="K4" s="12"/>
      <c r="L4" s="12"/>
      <c r="O4" s="12" t="s">
        <v>273</v>
      </c>
      <c r="P4" s="12"/>
      <c r="Q4" s="12"/>
      <c r="R4" s="12"/>
      <c r="S4" s="12"/>
      <c r="T4" s="12"/>
      <c r="U4" s="12"/>
      <c r="V4" s="12"/>
      <c r="W4" s="12"/>
      <c r="X4" s="12"/>
    </row>
    <row r="5" spans="1:24" ht="6" customHeight="1" x14ac:dyDescent="0.25"/>
    <row r="6" spans="1:24" ht="15.75" x14ac:dyDescent="0.25">
      <c r="B6" s="174"/>
      <c r="C6" s="203" t="s">
        <v>45</v>
      </c>
      <c r="D6" s="204"/>
      <c r="E6" s="204"/>
      <c r="F6" s="204"/>
      <c r="G6" s="204"/>
      <c r="H6" s="204"/>
      <c r="I6" s="204"/>
      <c r="J6" s="204"/>
      <c r="K6" s="204"/>
      <c r="L6" s="204"/>
    </row>
    <row r="7" spans="1:24" s="177" customFormat="1" ht="72" customHeight="1" x14ac:dyDescent="0.25">
      <c r="B7" s="178"/>
      <c r="C7" s="205" t="s">
        <v>274</v>
      </c>
      <c r="D7" s="205" t="s">
        <v>265</v>
      </c>
      <c r="E7" s="205" t="s">
        <v>266</v>
      </c>
      <c r="F7" s="205" t="s">
        <v>267</v>
      </c>
      <c r="G7" s="205" t="s">
        <v>268</v>
      </c>
      <c r="H7" s="205" t="s">
        <v>269</v>
      </c>
      <c r="I7" s="205" t="s">
        <v>270</v>
      </c>
      <c r="J7" s="206" t="str">
        <f>CONCATENATE("var. ",RIGHT(I7,2),"/",RIGHT(H7,2))</f>
        <v>var. 25/24</v>
      </c>
      <c r="K7" s="205" t="str">
        <f>CONCATENATE("dif. ",RIGHT(I7,2),"/",RIGHT(H7,2))</f>
        <v>dif. 25/24</v>
      </c>
      <c r="L7" s="206" t="str">
        <f>CONCATENATE("Cuota s/ total lugares de residencia ",RIGHT(I7,4))</f>
        <v>Cuota s/ total lugares de residencia 2025</v>
      </c>
      <c r="O7" s="178"/>
      <c r="P7" s="205" t="s">
        <v>265</v>
      </c>
      <c r="Q7" s="205" t="s">
        <v>266</v>
      </c>
      <c r="R7" s="205" t="s">
        <v>267</v>
      </c>
      <c r="S7" s="205" t="s">
        <v>268</v>
      </c>
      <c r="T7" s="205" t="s">
        <v>269</v>
      </c>
      <c r="U7" s="205" t="s">
        <v>270</v>
      </c>
      <c r="V7" s="206" t="str">
        <f>CONCATENATE("var. ",RIGHT(U7,2),"/",RIGHT(T7,2))</f>
        <v>var. 25/24</v>
      </c>
      <c r="W7" s="205" t="str">
        <f>CONCATENATE("dif. ",RIGHT(U7,2),"/",RIGHT(T7,2))</f>
        <v>dif. 25/24</v>
      </c>
      <c r="X7" s="206" t="str">
        <f>CONCATENATE("Cuota s/ total lugares de residencia ",RIGHT(U7,4))</f>
        <v>Cuota s/ total lugares de residencia 2025</v>
      </c>
    </row>
    <row r="8" spans="1:24" x14ac:dyDescent="0.25">
      <c r="A8" s="1"/>
      <c r="B8" s="183" t="s">
        <v>45</v>
      </c>
      <c r="C8" s="184"/>
      <c r="D8" s="184"/>
      <c r="E8" s="184"/>
      <c r="F8" s="184"/>
      <c r="G8" s="184"/>
      <c r="H8" s="184"/>
      <c r="I8" s="185"/>
      <c r="J8" s="185"/>
      <c r="K8" s="185"/>
      <c r="L8" s="184"/>
      <c r="O8" s="186" t="s">
        <v>54</v>
      </c>
      <c r="P8" s="184"/>
      <c r="Q8" s="184"/>
      <c r="R8" s="184"/>
      <c r="S8" s="184"/>
      <c r="T8" s="184"/>
      <c r="U8" s="185"/>
      <c r="V8" s="185"/>
      <c r="W8" s="185"/>
      <c r="X8" s="184"/>
    </row>
    <row r="9" spans="1:24" x14ac:dyDescent="0.25">
      <c r="A9" s="1"/>
      <c r="B9" s="187" t="s">
        <v>70</v>
      </c>
      <c r="C9" s="209">
        <v>4330865</v>
      </c>
      <c r="D9" s="209">
        <v>1593725</v>
      </c>
      <c r="E9" s="209">
        <v>1477278</v>
      </c>
      <c r="F9" s="209">
        <v>4116712</v>
      </c>
      <c r="G9" s="209">
        <v>4555390</v>
      </c>
      <c r="H9" s="209">
        <v>4846999</v>
      </c>
      <c r="I9" s="209">
        <v>4783955</v>
      </c>
      <c r="J9" s="210">
        <f>IFERROR(I9/H9-1,"-")</f>
        <v>-1.3006811018529185E-2</v>
      </c>
      <c r="K9" s="209">
        <f t="shared" ref="K9:K21" si="0">I9-H9</f>
        <v>-63044</v>
      </c>
      <c r="L9" s="210">
        <f t="shared" ref="L9:L21" si="1">I9/I$9</f>
        <v>1</v>
      </c>
      <c r="O9" s="187" t="s">
        <v>70</v>
      </c>
      <c r="P9" s="209">
        <v>87336</v>
      </c>
      <c r="Q9" s="209">
        <v>86363</v>
      </c>
      <c r="R9" s="209">
        <v>226073</v>
      </c>
      <c r="S9" s="209">
        <v>244622</v>
      </c>
      <c r="T9" s="209">
        <v>256066</v>
      </c>
      <c r="U9" s="209">
        <v>254821</v>
      </c>
      <c r="V9" s="210">
        <f>IFERROR(U9/T9-1,"-")</f>
        <v>-4.8620277584685567E-3</v>
      </c>
      <c r="W9" s="209">
        <f>U9-T9</f>
        <v>-1245</v>
      </c>
      <c r="X9" s="210">
        <f t="shared" ref="X9:X21" si="2">U9/U$9</f>
        <v>1</v>
      </c>
    </row>
    <row r="10" spans="1:24" x14ac:dyDescent="0.25">
      <c r="A10" s="1" t="s">
        <v>98</v>
      </c>
      <c r="B10" s="190" t="s">
        <v>99</v>
      </c>
      <c r="C10" s="191">
        <v>909501</v>
      </c>
      <c r="D10" s="191">
        <v>389776</v>
      </c>
      <c r="E10" s="191">
        <v>649729</v>
      </c>
      <c r="F10" s="191">
        <v>873118</v>
      </c>
      <c r="G10" s="191">
        <v>913236</v>
      </c>
      <c r="H10" s="191">
        <v>912897</v>
      </c>
      <c r="I10" s="191">
        <v>918598</v>
      </c>
      <c r="J10" s="211">
        <f>IFERROR(I10/H10-1,"-")</f>
        <v>6.2449542500413457E-3</v>
      </c>
      <c r="K10" s="190">
        <f t="shared" si="0"/>
        <v>5701</v>
      </c>
      <c r="L10" s="192">
        <f t="shared" si="1"/>
        <v>0.19201643828171461</v>
      </c>
      <c r="O10" s="190" t="s">
        <v>99</v>
      </c>
      <c r="P10" s="191">
        <v>15858</v>
      </c>
      <c r="Q10" s="191">
        <v>40067</v>
      </c>
      <c r="R10" s="191">
        <v>26334</v>
      </c>
      <c r="S10" s="191">
        <v>28935</v>
      </c>
      <c r="T10" s="191">
        <v>24980</v>
      </c>
      <c r="U10" s="191">
        <v>28687</v>
      </c>
      <c r="V10" s="211">
        <f>IFERROR(U10/T10-1,"-")</f>
        <v>0.14839871897518009</v>
      </c>
      <c r="W10" s="190">
        <f t="shared" ref="W10:W20" si="3">U10-T10</f>
        <v>3707</v>
      </c>
      <c r="X10" s="192">
        <f t="shared" si="2"/>
        <v>0.11257706389975708</v>
      </c>
    </row>
    <row r="11" spans="1:24" x14ac:dyDescent="0.25">
      <c r="A11" s="193" t="s">
        <v>105</v>
      </c>
      <c r="B11" s="194" t="s">
        <v>105</v>
      </c>
      <c r="C11" s="195">
        <v>349280</v>
      </c>
      <c r="D11" s="195">
        <v>160831</v>
      </c>
      <c r="E11" s="195">
        <v>342616</v>
      </c>
      <c r="F11" s="195">
        <v>357801</v>
      </c>
      <c r="G11" s="195">
        <v>371583</v>
      </c>
      <c r="H11" s="195">
        <v>360702</v>
      </c>
      <c r="I11" s="195">
        <v>349448</v>
      </c>
      <c r="J11" s="212">
        <f>IFERROR(I11/H11-1,"-")</f>
        <v>-3.12002705834733E-2</v>
      </c>
      <c r="K11" s="194">
        <f t="shared" si="0"/>
        <v>-11254</v>
      </c>
      <c r="L11" s="196">
        <f t="shared" si="1"/>
        <v>7.3045837596716526E-2</v>
      </c>
      <c r="O11" s="194" t="s">
        <v>105</v>
      </c>
      <c r="P11" s="195">
        <v>10814</v>
      </c>
      <c r="Q11" s="195">
        <v>30109</v>
      </c>
      <c r="R11" s="195">
        <v>17960</v>
      </c>
      <c r="S11" s="195">
        <v>18744</v>
      </c>
      <c r="T11" s="195">
        <v>15731</v>
      </c>
      <c r="U11" s="195">
        <v>17003</v>
      </c>
      <c r="V11" s="212">
        <f>IFERROR(U11/T11-1,"-")</f>
        <v>8.0859449494628421E-2</v>
      </c>
      <c r="W11" s="194">
        <f t="shared" si="3"/>
        <v>1272</v>
      </c>
      <c r="X11" s="196">
        <f t="shared" si="2"/>
        <v>6.6725269895338293E-2</v>
      </c>
    </row>
    <row r="12" spans="1:24" x14ac:dyDescent="0.25">
      <c r="A12" s="193" t="s">
        <v>102</v>
      </c>
      <c r="B12" s="194" t="s">
        <v>102</v>
      </c>
      <c r="C12" s="195">
        <v>560221</v>
      </c>
      <c r="D12" s="195">
        <v>228945</v>
      </c>
      <c r="E12" s="195">
        <v>307113</v>
      </c>
      <c r="F12" s="195">
        <v>515317</v>
      </c>
      <c r="G12" s="195">
        <v>541653</v>
      </c>
      <c r="H12" s="195">
        <v>552195</v>
      </c>
      <c r="I12" s="195">
        <v>569150</v>
      </c>
      <c r="J12" s="212">
        <f>IFERROR(I12/H12-1,"-")</f>
        <v>3.0704732929490497E-2</v>
      </c>
      <c r="K12" s="194">
        <f t="shared" si="0"/>
        <v>16955</v>
      </c>
      <c r="L12" s="196">
        <f t="shared" si="1"/>
        <v>0.11897060068499808</v>
      </c>
      <c r="O12" s="194" t="s">
        <v>102</v>
      </c>
      <c r="P12" s="195">
        <v>5044</v>
      </c>
      <c r="Q12" s="195">
        <v>9958</v>
      </c>
      <c r="R12" s="195">
        <v>8374</v>
      </c>
      <c r="S12" s="195">
        <v>10191</v>
      </c>
      <c r="T12" s="195">
        <v>9249</v>
      </c>
      <c r="U12" s="195">
        <v>11684</v>
      </c>
      <c r="V12" s="212">
        <f>IFERROR(U12/T12-1,"-")</f>
        <v>0.26327170504919462</v>
      </c>
      <c r="W12" s="194">
        <f t="shared" si="3"/>
        <v>2435</v>
      </c>
      <c r="X12" s="196">
        <f t="shared" si="2"/>
        <v>4.5851794004418786E-2</v>
      </c>
    </row>
    <row r="13" spans="1:24" x14ac:dyDescent="0.25">
      <c r="A13" s="1"/>
      <c r="B13" s="190" t="s">
        <v>109</v>
      </c>
      <c r="C13" s="191">
        <v>3421364</v>
      </c>
      <c r="D13" s="191">
        <v>1203949</v>
      </c>
      <c r="E13" s="191">
        <v>827549</v>
      </c>
      <c r="F13" s="191">
        <v>3243594</v>
      </c>
      <c r="G13" s="191">
        <v>3642154</v>
      </c>
      <c r="H13" s="191">
        <v>3934102</v>
      </c>
      <c r="I13" s="191">
        <v>3865357</v>
      </c>
      <c r="J13" s="211">
        <f>IFERROR(I13/H13-1,"-")</f>
        <v>-1.7474127513724902E-2</v>
      </c>
      <c r="K13" s="190">
        <f t="shared" si="0"/>
        <v>-68745</v>
      </c>
      <c r="L13" s="192">
        <f t="shared" si="1"/>
        <v>0.80798356171828545</v>
      </c>
      <c r="O13" s="190" t="s">
        <v>109</v>
      </c>
      <c r="P13" s="191">
        <v>71478</v>
      </c>
      <c r="Q13" s="191">
        <v>46296</v>
      </c>
      <c r="R13" s="191">
        <v>199739</v>
      </c>
      <c r="S13" s="191">
        <v>215687</v>
      </c>
      <c r="T13" s="191">
        <v>231086</v>
      </c>
      <c r="U13" s="191">
        <v>226134</v>
      </c>
      <c r="V13" s="211">
        <f>IFERROR(U13/T13-1,"-")</f>
        <v>-2.1429251447513065E-2</v>
      </c>
      <c r="W13" s="190">
        <f t="shared" si="3"/>
        <v>-4952</v>
      </c>
      <c r="X13" s="192">
        <f t="shared" si="2"/>
        <v>0.88742293610024292</v>
      </c>
    </row>
    <row r="14" spans="1:24" s="74" customFormat="1" x14ac:dyDescent="0.25">
      <c r="B14" s="194" t="s">
        <v>112</v>
      </c>
      <c r="C14" s="195">
        <v>1590514</v>
      </c>
      <c r="D14" s="195">
        <v>470686</v>
      </c>
      <c r="E14" s="195">
        <v>169657</v>
      </c>
      <c r="F14" s="195">
        <v>1521014</v>
      </c>
      <c r="G14" s="195">
        <v>1730415</v>
      </c>
      <c r="H14" s="195">
        <v>1875633</v>
      </c>
      <c r="I14" s="195">
        <v>1855070</v>
      </c>
      <c r="J14" s="212">
        <f t="shared" ref="J14:J21" si="4">IFERROR(I14/H14-1,"-")</f>
        <v>-1.0963232146160795E-2</v>
      </c>
      <c r="K14" s="194">
        <f t="shared" si="0"/>
        <v>-20563</v>
      </c>
      <c r="L14" s="196">
        <f t="shared" si="1"/>
        <v>0.38776911572119721</v>
      </c>
      <c r="O14" s="194" t="s">
        <v>112</v>
      </c>
      <c r="P14" s="195">
        <v>29452</v>
      </c>
      <c r="Q14" s="195">
        <v>7723</v>
      </c>
      <c r="R14" s="195">
        <v>86847</v>
      </c>
      <c r="S14" s="195">
        <v>92504</v>
      </c>
      <c r="T14" s="195">
        <v>104620</v>
      </c>
      <c r="U14" s="195">
        <v>107039</v>
      </c>
      <c r="V14" s="212">
        <f t="shared" ref="V14:V21" si="5">IFERROR(U14/T14-1,"-")</f>
        <v>2.3121774039380538E-2</v>
      </c>
      <c r="W14" s="194">
        <f t="shared" si="3"/>
        <v>2419</v>
      </c>
      <c r="X14" s="196">
        <f t="shared" si="2"/>
        <v>0.4200556469050824</v>
      </c>
    </row>
    <row r="15" spans="1:24" s="74" customFormat="1" x14ac:dyDescent="0.25">
      <c r="B15" s="194" t="s">
        <v>115</v>
      </c>
      <c r="C15" s="195">
        <v>455691</v>
      </c>
      <c r="D15" s="195">
        <v>159243</v>
      </c>
      <c r="E15" s="195">
        <v>126661</v>
      </c>
      <c r="F15" s="195">
        <v>329839</v>
      </c>
      <c r="G15" s="195">
        <v>374298</v>
      </c>
      <c r="H15" s="195">
        <v>391353</v>
      </c>
      <c r="I15" s="195">
        <v>381348</v>
      </c>
      <c r="J15" s="212">
        <f t="shared" si="4"/>
        <v>-2.5565154732428264E-2</v>
      </c>
      <c r="K15" s="194">
        <f t="shared" si="0"/>
        <v>-10005</v>
      </c>
      <c r="L15" s="196">
        <f t="shared" si="1"/>
        <v>7.9713960520113591E-2</v>
      </c>
      <c r="O15" s="194" t="s">
        <v>115</v>
      </c>
      <c r="P15" s="195">
        <v>5377</v>
      </c>
      <c r="Q15" s="195">
        <v>4588</v>
      </c>
      <c r="R15" s="195">
        <v>13423</v>
      </c>
      <c r="S15" s="195">
        <v>18417</v>
      </c>
      <c r="T15" s="195">
        <v>19208</v>
      </c>
      <c r="U15" s="195">
        <v>18701</v>
      </c>
      <c r="V15" s="212">
        <f t="shared" si="5"/>
        <v>-2.639525197834236E-2</v>
      </c>
      <c r="W15" s="194">
        <f t="shared" si="3"/>
        <v>-507</v>
      </c>
      <c r="X15" s="196">
        <f t="shared" si="2"/>
        <v>7.3388770941170467E-2</v>
      </c>
    </row>
    <row r="16" spans="1:24" x14ac:dyDescent="0.25">
      <c r="A16" s="1"/>
      <c r="B16" s="194" t="s">
        <v>118</v>
      </c>
      <c r="C16" s="195">
        <v>151730</v>
      </c>
      <c r="D16" s="195">
        <v>55054</v>
      </c>
      <c r="E16" s="195">
        <v>93677</v>
      </c>
      <c r="F16" s="195">
        <v>166671</v>
      </c>
      <c r="G16" s="195">
        <v>188864</v>
      </c>
      <c r="H16" s="195">
        <v>207728</v>
      </c>
      <c r="I16" s="195">
        <v>198554</v>
      </c>
      <c r="J16" s="212">
        <f t="shared" si="4"/>
        <v>-4.4163521528152172E-2</v>
      </c>
      <c r="K16" s="194">
        <f t="shared" si="0"/>
        <v>-9174</v>
      </c>
      <c r="L16" s="196">
        <f t="shared" si="1"/>
        <v>4.1504152944582463E-2</v>
      </c>
      <c r="O16" s="194" t="s">
        <v>118</v>
      </c>
      <c r="P16" s="195">
        <v>5591</v>
      </c>
      <c r="Q16" s="195">
        <v>9723</v>
      </c>
      <c r="R16" s="195">
        <v>23794</v>
      </c>
      <c r="S16" s="195">
        <v>22158</v>
      </c>
      <c r="T16" s="195">
        <v>22877</v>
      </c>
      <c r="U16" s="195">
        <v>20258</v>
      </c>
      <c r="V16" s="212">
        <f t="shared" si="5"/>
        <v>-0.11448179394151337</v>
      </c>
      <c r="W16" s="194">
        <f t="shared" si="3"/>
        <v>-2619</v>
      </c>
      <c r="X16" s="196">
        <f t="shared" si="2"/>
        <v>7.9498942394857566E-2</v>
      </c>
    </row>
    <row r="17" spans="1:24" x14ac:dyDescent="0.25">
      <c r="A17" s="1"/>
      <c r="B17" s="194" t="s">
        <v>125</v>
      </c>
      <c r="C17" s="195">
        <v>130840</v>
      </c>
      <c r="D17" s="195">
        <v>43938</v>
      </c>
      <c r="E17" s="195">
        <v>49974</v>
      </c>
      <c r="F17" s="195">
        <v>164373</v>
      </c>
      <c r="G17" s="195">
        <v>153800</v>
      </c>
      <c r="H17" s="195">
        <v>158736</v>
      </c>
      <c r="I17" s="195">
        <v>149025</v>
      </c>
      <c r="J17" s="212">
        <f t="shared" si="4"/>
        <v>-6.1177048684608382E-2</v>
      </c>
      <c r="K17" s="194">
        <f t="shared" si="0"/>
        <v>-9711</v>
      </c>
      <c r="L17" s="196">
        <f t="shared" si="1"/>
        <v>3.1151003719725623E-2</v>
      </c>
      <c r="O17" s="194" t="s">
        <v>125</v>
      </c>
      <c r="P17" s="195">
        <v>1151</v>
      </c>
      <c r="Q17" s="195">
        <v>1335</v>
      </c>
      <c r="R17" s="195">
        <v>9497</v>
      </c>
      <c r="S17" s="195">
        <v>8741</v>
      </c>
      <c r="T17" s="195">
        <v>6113</v>
      </c>
      <c r="U17" s="195">
        <v>5501</v>
      </c>
      <c r="V17" s="212">
        <f t="shared" si="5"/>
        <v>-0.10011451006052674</v>
      </c>
      <c r="W17" s="194">
        <f t="shared" si="3"/>
        <v>-612</v>
      </c>
      <c r="X17" s="196">
        <f t="shared" si="2"/>
        <v>2.1587702740354993E-2</v>
      </c>
    </row>
    <row r="18" spans="1:24" x14ac:dyDescent="0.25">
      <c r="A18" s="1"/>
      <c r="B18" s="194" t="s">
        <v>121</v>
      </c>
      <c r="C18" s="195">
        <v>120803</v>
      </c>
      <c r="D18" s="195">
        <v>58400</v>
      </c>
      <c r="E18" s="195">
        <v>54372</v>
      </c>
      <c r="F18" s="195">
        <v>131106</v>
      </c>
      <c r="G18" s="195">
        <v>132154</v>
      </c>
      <c r="H18" s="195">
        <v>141055</v>
      </c>
      <c r="I18" s="195">
        <v>128287</v>
      </c>
      <c r="J18" s="212">
        <f t="shared" si="4"/>
        <v>-9.0517883095246554E-2</v>
      </c>
      <c r="K18" s="194">
        <f t="shared" si="0"/>
        <v>-12768</v>
      </c>
      <c r="L18" s="196">
        <f t="shared" si="1"/>
        <v>2.6816096723317841E-2</v>
      </c>
      <c r="O18" s="194" t="s">
        <v>121</v>
      </c>
      <c r="P18" s="195">
        <v>1867</v>
      </c>
      <c r="Q18" s="195">
        <v>1975</v>
      </c>
      <c r="R18" s="195">
        <v>4118</v>
      </c>
      <c r="S18" s="195">
        <v>4790</v>
      </c>
      <c r="T18" s="195">
        <v>5320</v>
      </c>
      <c r="U18" s="195">
        <v>3981</v>
      </c>
      <c r="V18" s="212">
        <f t="shared" si="5"/>
        <v>-0.2516917293233083</v>
      </c>
      <c r="W18" s="194">
        <f t="shared" si="3"/>
        <v>-1339</v>
      </c>
      <c r="X18" s="196">
        <f t="shared" si="2"/>
        <v>1.5622731250564122E-2</v>
      </c>
    </row>
    <row r="19" spans="1:24" x14ac:dyDescent="0.25">
      <c r="A19" s="1"/>
      <c r="B19" s="194" t="s">
        <v>130</v>
      </c>
      <c r="C19" s="195">
        <v>63996</v>
      </c>
      <c r="D19" s="195">
        <v>35659</v>
      </c>
      <c r="E19" s="195">
        <v>4548</v>
      </c>
      <c r="F19" s="195">
        <v>46950</v>
      </c>
      <c r="G19" s="195">
        <v>56688</v>
      </c>
      <c r="H19" s="195">
        <v>53832</v>
      </c>
      <c r="I19" s="195">
        <v>50671</v>
      </c>
      <c r="J19" s="212">
        <f t="shared" si="4"/>
        <v>-5.8719720612275261E-2</v>
      </c>
      <c r="K19" s="194">
        <f t="shared" si="0"/>
        <v>-3161</v>
      </c>
      <c r="L19" s="196">
        <f t="shared" si="1"/>
        <v>1.0591863844873123E-2</v>
      </c>
      <c r="O19" s="194" t="s">
        <v>130</v>
      </c>
      <c r="P19" s="195">
        <v>2361</v>
      </c>
      <c r="Q19" s="195">
        <v>75</v>
      </c>
      <c r="R19" s="195">
        <v>2451</v>
      </c>
      <c r="S19" s="195">
        <v>2781</v>
      </c>
      <c r="T19" s="195">
        <v>2573</v>
      </c>
      <c r="U19" s="195">
        <v>2801</v>
      </c>
      <c r="V19" s="212">
        <f t="shared" si="5"/>
        <v>8.8612514574426759E-2</v>
      </c>
      <c r="W19" s="194">
        <f t="shared" si="3"/>
        <v>228</v>
      </c>
      <c r="X19" s="196">
        <f t="shared" si="2"/>
        <v>1.0992029699279102E-2</v>
      </c>
    </row>
    <row r="20" spans="1:24" x14ac:dyDescent="0.25">
      <c r="A20" s="193" t="s">
        <v>146</v>
      </c>
      <c r="B20" s="194" t="s">
        <v>133</v>
      </c>
      <c r="C20" s="195">
        <v>79997</v>
      </c>
      <c r="D20" s="195">
        <v>51838</v>
      </c>
      <c r="E20" s="195">
        <v>4232</v>
      </c>
      <c r="F20" s="195">
        <v>35491</v>
      </c>
      <c r="G20" s="195">
        <v>51425</v>
      </c>
      <c r="H20" s="195">
        <v>54282</v>
      </c>
      <c r="I20" s="195">
        <v>42882</v>
      </c>
      <c r="J20" s="212">
        <f t="shared" si="4"/>
        <v>-0.21001436940422236</v>
      </c>
      <c r="K20" s="194">
        <f t="shared" si="0"/>
        <v>-11400</v>
      </c>
      <c r="L20" s="196">
        <f t="shared" si="1"/>
        <v>8.963713078404793E-3</v>
      </c>
      <c r="O20" s="194" t="s">
        <v>133</v>
      </c>
      <c r="P20" s="195">
        <v>4703</v>
      </c>
      <c r="Q20" s="195">
        <v>65</v>
      </c>
      <c r="R20" s="195">
        <v>1164</v>
      </c>
      <c r="S20" s="195">
        <v>2087</v>
      </c>
      <c r="T20" s="195">
        <v>1892</v>
      </c>
      <c r="U20" s="195">
        <v>1389</v>
      </c>
      <c r="V20" s="212">
        <f t="shared" si="5"/>
        <v>-0.2658562367864693</v>
      </c>
      <c r="W20" s="194">
        <f t="shared" si="3"/>
        <v>-503</v>
      </c>
      <c r="X20" s="196">
        <f t="shared" si="2"/>
        <v>5.4508851311312646E-3</v>
      </c>
    </row>
    <row r="21" spans="1:24" x14ac:dyDescent="0.25">
      <c r="A21" s="198" t="s">
        <v>147</v>
      </c>
      <c r="B21" s="199" t="s">
        <v>147</v>
      </c>
      <c r="C21" s="200">
        <f t="shared" ref="C21" si="6">C13-SUM(C14:C20)</f>
        <v>827793</v>
      </c>
      <c r="D21" s="200">
        <f t="shared" ref="D21:I21" si="7">D13-SUM(D14:D20)</f>
        <v>329131</v>
      </c>
      <c r="E21" s="200">
        <f t="shared" si="7"/>
        <v>324428</v>
      </c>
      <c r="F21" s="200">
        <f t="shared" si="7"/>
        <v>848150</v>
      </c>
      <c r="G21" s="200">
        <f t="shared" si="7"/>
        <v>954510</v>
      </c>
      <c r="H21" s="200">
        <f t="shared" si="7"/>
        <v>1051483</v>
      </c>
      <c r="I21" s="200">
        <f t="shared" si="7"/>
        <v>1059520</v>
      </c>
      <c r="J21" s="213">
        <f t="shared" si="4"/>
        <v>7.6434901943256417E-3</v>
      </c>
      <c r="K21" s="199">
        <f t="shared" si="0"/>
        <v>8037</v>
      </c>
      <c r="L21" s="201">
        <f t="shared" si="1"/>
        <v>0.22147365516607076</v>
      </c>
      <c r="O21" s="199" t="s">
        <v>147</v>
      </c>
      <c r="P21" s="200">
        <f t="shared" ref="P21:U21" si="8">P13-SUM(P14:P20)</f>
        <v>20976</v>
      </c>
      <c r="Q21" s="200">
        <f t="shared" si="8"/>
        <v>20812</v>
      </c>
      <c r="R21" s="200">
        <f t="shared" si="8"/>
        <v>58445</v>
      </c>
      <c r="S21" s="200">
        <f t="shared" si="8"/>
        <v>64209</v>
      </c>
      <c r="T21" s="200">
        <f t="shared" si="8"/>
        <v>68483</v>
      </c>
      <c r="U21" s="200">
        <f t="shared" si="8"/>
        <v>66464</v>
      </c>
      <c r="V21" s="213">
        <f t="shared" si="5"/>
        <v>-2.9481769198195118E-2</v>
      </c>
      <c r="W21" s="199">
        <f>U21-T21</f>
        <v>-2019</v>
      </c>
      <c r="X21" s="201">
        <f t="shared" si="2"/>
        <v>0.260826227037803</v>
      </c>
    </row>
    <row r="22" spans="1:24" x14ac:dyDescent="0.25">
      <c r="A22" s="1"/>
      <c r="B22" s="186" t="s">
        <v>46</v>
      </c>
      <c r="C22" s="184"/>
      <c r="D22" s="184"/>
      <c r="E22" s="184"/>
      <c r="F22" s="184"/>
      <c r="G22" s="184"/>
      <c r="H22" s="184"/>
      <c r="I22" s="184"/>
      <c r="J22" s="185"/>
      <c r="K22" s="185"/>
      <c r="L22" s="184"/>
    </row>
    <row r="23" spans="1:24" x14ac:dyDescent="0.25">
      <c r="A23" s="1"/>
      <c r="B23" s="187" t="s">
        <v>70</v>
      </c>
      <c r="C23" s="209">
        <v>1604718</v>
      </c>
      <c r="D23" s="209">
        <v>541906</v>
      </c>
      <c r="E23" s="209">
        <v>579611</v>
      </c>
      <c r="F23" s="209">
        <v>1558686</v>
      </c>
      <c r="G23" s="209">
        <v>1686480</v>
      </c>
      <c r="H23" s="209">
        <v>1747927</v>
      </c>
      <c r="I23" s="209">
        <v>1654003</v>
      </c>
      <c r="J23" s="210">
        <f>IFERROR(I23/H23-1,"-")</f>
        <v>-5.3734509507548101E-2</v>
      </c>
      <c r="K23" s="209">
        <f>I23-H23</f>
        <v>-93924</v>
      </c>
      <c r="L23" s="210">
        <f t="shared" ref="L23:L35" si="9">I23/I$9</f>
        <v>0.34573966519333899</v>
      </c>
    </row>
    <row r="24" spans="1:24" x14ac:dyDescent="0.25">
      <c r="A24" s="1" t="s">
        <v>98</v>
      </c>
      <c r="B24" s="190" t="s">
        <v>99</v>
      </c>
      <c r="C24" s="191">
        <v>203129</v>
      </c>
      <c r="D24" s="191">
        <v>84333</v>
      </c>
      <c r="E24" s="191">
        <v>225377</v>
      </c>
      <c r="F24" s="191">
        <v>189098</v>
      </c>
      <c r="G24" s="191">
        <v>165418</v>
      </c>
      <c r="H24" s="191">
        <v>148493</v>
      </c>
      <c r="I24" s="191">
        <v>132823</v>
      </c>
      <c r="J24" s="211">
        <f>IFERROR(I24/H24-1,"-")</f>
        <v>-0.10552685985197952</v>
      </c>
      <c r="K24" s="190">
        <f t="shared" ref="K24:K34" si="10">I24-H24</f>
        <v>-15670</v>
      </c>
      <c r="L24" s="192">
        <f t="shared" si="9"/>
        <v>2.776426617725292E-2</v>
      </c>
    </row>
    <row r="25" spans="1:24" x14ac:dyDescent="0.25">
      <c r="A25" s="193" t="s">
        <v>105</v>
      </c>
      <c r="B25" s="194" t="s">
        <v>105</v>
      </c>
      <c r="C25" s="195">
        <v>102461</v>
      </c>
      <c r="D25" s="195">
        <v>45984</v>
      </c>
      <c r="E25" s="195">
        <v>116777</v>
      </c>
      <c r="F25" s="195">
        <v>78369</v>
      </c>
      <c r="G25" s="195">
        <v>68127</v>
      </c>
      <c r="H25" s="195">
        <v>55552</v>
      </c>
      <c r="I25" s="195">
        <v>59675</v>
      </c>
      <c r="J25" s="212">
        <f>IFERROR(I25/H25-1,"-")</f>
        <v>7.421875E-2</v>
      </c>
      <c r="K25" s="194">
        <f t="shared" si="10"/>
        <v>4123</v>
      </c>
      <c r="L25" s="196">
        <f t="shared" si="9"/>
        <v>1.2473988572216922E-2</v>
      </c>
    </row>
    <row r="26" spans="1:24" x14ac:dyDescent="0.25">
      <c r="A26" s="193" t="s">
        <v>102</v>
      </c>
      <c r="B26" s="194" t="s">
        <v>102</v>
      </c>
      <c r="C26" s="195">
        <v>100668</v>
      </c>
      <c r="D26" s="195">
        <v>38349</v>
      </c>
      <c r="E26" s="195">
        <v>108600</v>
      </c>
      <c r="F26" s="195">
        <v>110729</v>
      </c>
      <c r="G26" s="195">
        <v>97291</v>
      </c>
      <c r="H26" s="195">
        <v>92941</v>
      </c>
      <c r="I26" s="195">
        <v>73148</v>
      </c>
      <c r="J26" s="212">
        <f>IFERROR(I26/H26-1,"-")</f>
        <v>-0.2129630625880935</v>
      </c>
      <c r="K26" s="194">
        <f t="shared" si="10"/>
        <v>-19793</v>
      </c>
      <c r="L26" s="196">
        <f t="shared" si="9"/>
        <v>1.5290277605036E-2</v>
      </c>
    </row>
    <row r="27" spans="1:24" x14ac:dyDescent="0.25">
      <c r="A27" s="1"/>
      <c r="B27" s="190" t="s">
        <v>109</v>
      </c>
      <c r="C27" s="191">
        <v>1401589</v>
      </c>
      <c r="D27" s="191">
        <v>457573</v>
      </c>
      <c r="E27" s="191">
        <v>354234</v>
      </c>
      <c r="F27" s="191">
        <v>1369588</v>
      </c>
      <c r="G27" s="191">
        <v>1521062</v>
      </c>
      <c r="H27" s="191">
        <v>1599434</v>
      </c>
      <c r="I27" s="191">
        <v>1521180</v>
      </c>
      <c r="J27" s="211">
        <f>IFERROR(I27/H27-1,"-")</f>
        <v>-4.8926057592873495E-2</v>
      </c>
      <c r="K27" s="190">
        <f t="shared" si="10"/>
        <v>-78254</v>
      </c>
      <c r="L27" s="192">
        <f t="shared" si="9"/>
        <v>0.31797539901608607</v>
      </c>
    </row>
    <row r="28" spans="1:24" s="74" customFormat="1" x14ac:dyDescent="0.25">
      <c r="B28" s="194" t="s">
        <v>112</v>
      </c>
      <c r="C28" s="195">
        <v>696493</v>
      </c>
      <c r="D28" s="195">
        <v>200687</v>
      </c>
      <c r="E28" s="195">
        <v>81422</v>
      </c>
      <c r="F28" s="195">
        <v>695780</v>
      </c>
      <c r="G28" s="195">
        <v>795063</v>
      </c>
      <c r="H28" s="195">
        <v>841957</v>
      </c>
      <c r="I28" s="195">
        <v>812166</v>
      </c>
      <c r="J28" s="212">
        <f t="shared" ref="J28:J35" si="11">IFERROR(I28/H28-1,"-")</f>
        <v>-3.5383042126854503E-2</v>
      </c>
      <c r="K28" s="194">
        <f t="shared" si="10"/>
        <v>-29791</v>
      </c>
      <c r="L28" s="196">
        <f t="shared" si="9"/>
        <v>0.16976873737315673</v>
      </c>
    </row>
    <row r="29" spans="1:24" s="74" customFormat="1" x14ac:dyDescent="0.25">
      <c r="B29" s="194" t="s">
        <v>115</v>
      </c>
      <c r="C29" s="195">
        <v>188741</v>
      </c>
      <c r="D29" s="195">
        <v>58756</v>
      </c>
      <c r="E29" s="195">
        <v>65075</v>
      </c>
      <c r="F29" s="195">
        <v>149604</v>
      </c>
      <c r="G29" s="195">
        <v>161991</v>
      </c>
      <c r="H29" s="195">
        <v>162623</v>
      </c>
      <c r="I29" s="195">
        <v>151179</v>
      </c>
      <c r="J29" s="212">
        <f t="shared" si="11"/>
        <v>-7.0371349686083717E-2</v>
      </c>
      <c r="K29" s="194">
        <f t="shared" si="10"/>
        <v>-11444</v>
      </c>
      <c r="L29" s="196">
        <f t="shared" si="9"/>
        <v>3.1601258791104848E-2</v>
      </c>
    </row>
    <row r="30" spans="1:24" x14ac:dyDescent="0.25">
      <c r="A30" s="1"/>
      <c r="B30" s="194" t="s">
        <v>118</v>
      </c>
      <c r="C30" s="195">
        <v>48834</v>
      </c>
      <c r="D30" s="195">
        <v>19382</v>
      </c>
      <c r="E30" s="195">
        <v>33506</v>
      </c>
      <c r="F30" s="195">
        <v>55841</v>
      </c>
      <c r="G30" s="195">
        <v>59248</v>
      </c>
      <c r="H30" s="195">
        <v>55398</v>
      </c>
      <c r="I30" s="195">
        <v>46797</v>
      </c>
      <c r="J30" s="212">
        <f t="shared" si="11"/>
        <v>-0.15525831257446121</v>
      </c>
      <c r="K30" s="194">
        <f t="shared" si="10"/>
        <v>-8601</v>
      </c>
      <c r="L30" s="196">
        <f t="shared" si="9"/>
        <v>9.7820736190035226E-3</v>
      </c>
    </row>
    <row r="31" spans="1:24" x14ac:dyDescent="0.25">
      <c r="A31" s="1"/>
      <c r="B31" s="194" t="s">
        <v>125</v>
      </c>
      <c r="C31" s="195">
        <v>58080</v>
      </c>
      <c r="D31" s="195">
        <v>18863</v>
      </c>
      <c r="E31" s="195">
        <v>23486</v>
      </c>
      <c r="F31" s="195">
        <v>75459</v>
      </c>
      <c r="G31" s="195">
        <v>67581</v>
      </c>
      <c r="H31" s="195">
        <v>65766</v>
      </c>
      <c r="I31" s="195">
        <v>62485</v>
      </c>
      <c r="J31" s="212">
        <f t="shared" si="11"/>
        <v>-4.9889000395341054E-2</v>
      </c>
      <c r="K31" s="194">
        <f t="shared" si="10"/>
        <v>-3281</v>
      </c>
      <c r="L31" s="196">
        <f t="shared" si="9"/>
        <v>1.3061368679262242E-2</v>
      </c>
    </row>
    <row r="32" spans="1:24" x14ac:dyDescent="0.25">
      <c r="A32" s="1"/>
      <c r="B32" s="194" t="s">
        <v>121</v>
      </c>
      <c r="C32" s="195">
        <v>63720</v>
      </c>
      <c r="D32" s="195">
        <v>28388</v>
      </c>
      <c r="E32" s="195">
        <v>30346</v>
      </c>
      <c r="F32" s="195">
        <v>74967</v>
      </c>
      <c r="G32" s="195">
        <v>69996</v>
      </c>
      <c r="H32" s="195">
        <v>73042</v>
      </c>
      <c r="I32" s="195">
        <v>67042</v>
      </c>
      <c r="J32" s="212">
        <f t="shared" si="11"/>
        <v>-8.2144519591467957E-2</v>
      </c>
      <c r="K32" s="194">
        <f t="shared" si="10"/>
        <v>-6000</v>
      </c>
      <c r="L32" s="196">
        <f t="shared" si="9"/>
        <v>1.4013927806595172E-2</v>
      </c>
    </row>
    <row r="33" spans="1:12" x14ac:dyDescent="0.25">
      <c r="A33" s="1"/>
      <c r="B33" s="194" t="s">
        <v>130</v>
      </c>
      <c r="C33" s="195">
        <v>27317</v>
      </c>
      <c r="D33" s="195">
        <v>14172</v>
      </c>
      <c r="E33" s="195">
        <v>822</v>
      </c>
      <c r="F33" s="195">
        <v>17870</v>
      </c>
      <c r="G33" s="195">
        <v>20459</v>
      </c>
      <c r="H33" s="195">
        <v>20390</v>
      </c>
      <c r="I33" s="195">
        <v>17762</v>
      </c>
      <c r="J33" s="212">
        <f t="shared" si="11"/>
        <v>-0.12888670917116229</v>
      </c>
      <c r="K33" s="194">
        <f t="shared" si="10"/>
        <v>-2628</v>
      </c>
      <c r="L33" s="196">
        <f t="shared" si="9"/>
        <v>3.7128275663128102E-3</v>
      </c>
    </row>
    <row r="34" spans="1:12" x14ac:dyDescent="0.25">
      <c r="A34" s="193" t="s">
        <v>146</v>
      </c>
      <c r="B34" s="194" t="s">
        <v>133</v>
      </c>
      <c r="C34" s="195">
        <v>25915</v>
      </c>
      <c r="D34" s="195">
        <v>16095</v>
      </c>
      <c r="E34" s="195">
        <v>663</v>
      </c>
      <c r="F34" s="195">
        <v>11287</v>
      </c>
      <c r="G34" s="195">
        <v>18231</v>
      </c>
      <c r="H34" s="195">
        <v>18052</v>
      </c>
      <c r="I34" s="195">
        <v>14021</v>
      </c>
      <c r="J34" s="212">
        <f t="shared" si="11"/>
        <v>-0.22329935741192108</v>
      </c>
      <c r="K34" s="194">
        <f t="shared" si="10"/>
        <v>-4031</v>
      </c>
      <c r="L34" s="196">
        <f t="shared" si="9"/>
        <v>2.9308386052962453E-3</v>
      </c>
    </row>
    <row r="35" spans="1:12" x14ac:dyDescent="0.25">
      <c r="A35" s="198" t="s">
        <v>147</v>
      </c>
      <c r="B35" s="199" t="s">
        <v>147</v>
      </c>
      <c r="C35" s="200">
        <f t="shared" ref="C35" si="12">C27-SUM(C28:C34)</f>
        <v>292489</v>
      </c>
      <c r="D35" s="200">
        <f t="shared" ref="D35:I35" si="13">D27-SUM(D28:D34)</f>
        <v>101230</v>
      </c>
      <c r="E35" s="200">
        <f t="shared" si="13"/>
        <v>118914</v>
      </c>
      <c r="F35" s="200">
        <f t="shared" si="13"/>
        <v>288780</v>
      </c>
      <c r="G35" s="200">
        <f t="shared" si="13"/>
        <v>328493</v>
      </c>
      <c r="H35" s="200">
        <f t="shared" si="13"/>
        <v>362206</v>
      </c>
      <c r="I35" s="200">
        <f t="shared" si="13"/>
        <v>349728</v>
      </c>
      <c r="J35" s="213">
        <f t="shared" si="11"/>
        <v>-3.4450009110837509E-2</v>
      </c>
      <c r="K35" s="199">
        <f>I35-H35</f>
        <v>-12478</v>
      </c>
      <c r="L35" s="201">
        <f t="shared" si="9"/>
        <v>7.310436657535449E-2</v>
      </c>
    </row>
    <row r="36" spans="1:12" x14ac:dyDescent="0.25">
      <c r="A36" s="1"/>
      <c r="B36" s="186" t="s">
        <v>47</v>
      </c>
      <c r="C36" s="184"/>
      <c r="D36" s="184"/>
      <c r="E36" s="184"/>
      <c r="F36" s="184"/>
      <c r="G36" s="184"/>
      <c r="H36" s="184"/>
      <c r="I36" s="184"/>
      <c r="J36" s="185"/>
      <c r="K36" s="185"/>
      <c r="L36" s="184"/>
    </row>
    <row r="37" spans="1:12" x14ac:dyDescent="0.25">
      <c r="A37" s="1"/>
      <c r="B37" s="187" t="s">
        <v>70</v>
      </c>
      <c r="C37" s="209">
        <v>1188723</v>
      </c>
      <c r="D37" s="209">
        <v>382043</v>
      </c>
      <c r="E37" s="209">
        <v>269519</v>
      </c>
      <c r="F37" s="209">
        <v>1092077</v>
      </c>
      <c r="G37" s="209">
        <v>1177799</v>
      </c>
      <c r="H37" s="209">
        <v>1245078</v>
      </c>
      <c r="I37" s="209">
        <v>1269157</v>
      </c>
      <c r="J37" s="210">
        <f>IFERROR(I37/H37-1,"-")</f>
        <v>1.9339350627028962E-2</v>
      </c>
      <c r="K37" s="209">
        <f>I37-H37</f>
        <v>24079</v>
      </c>
      <c r="L37" s="210">
        <f t="shared" ref="L37:L49" si="14">I37/I$9</f>
        <v>0.26529451050438391</v>
      </c>
    </row>
    <row r="38" spans="1:12" x14ac:dyDescent="0.25">
      <c r="A38" s="1" t="s">
        <v>98</v>
      </c>
      <c r="B38" s="190" t="s">
        <v>99</v>
      </c>
      <c r="C38" s="191">
        <v>111701</v>
      </c>
      <c r="D38" s="191">
        <v>39466</v>
      </c>
      <c r="E38" s="191">
        <v>67358</v>
      </c>
      <c r="F38" s="191">
        <v>108654</v>
      </c>
      <c r="G38" s="191">
        <v>105007</v>
      </c>
      <c r="H38" s="191">
        <v>102258</v>
      </c>
      <c r="I38" s="191">
        <v>103791</v>
      </c>
      <c r="J38" s="211">
        <f>IFERROR(I38/H38-1,"-")</f>
        <v>1.4991492108196836E-2</v>
      </c>
      <c r="K38" s="190">
        <f t="shared" ref="K38:K48" si="15">I38-H38</f>
        <v>1533</v>
      </c>
      <c r="L38" s="192">
        <f t="shared" si="14"/>
        <v>2.16956472207619E-2</v>
      </c>
    </row>
    <row r="39" spans="1:12" x14ac:dyDescent="0.25">
      <c r="A39" s="193" t="s">
        <v>105</v>
      </c>
      <c r="B39" s="194" t="s">
        <v>105</v>
      </c>
      <c r="C39" s="195">
        <v>44390</v>
      </c>
      <c r="D39" s="195">
        <v>17920</v>
      </c>
      <c r="E39" s="195">
        <v>38009</v>
      </c>
      <c r="F39" s="195">
        <v>43342</v>
      </c>
      <c r="G39" s="195">
        <v>45406</v>
      </c>
      <c r="H39" s="195">
        <v>46459</v>
      </c>
      <c r="I39" s="195">
        <v>44793</v>
      </c>
      <c r="J39" s="212">
        <f>IFERROR(I39/H39-1,"-")</f>
        <v>-3.5859575109236097E-2</v>
      </c>
      <c r="K39" s="194">
        <f t="shared" si="15"/>
        <v>-1666</v>
      </c>
      <c r="L39" s="196">
        <f t="shared" si="14"/>
        <v>9.3631733576089241E-3</v>
      </c>
    </row>
    <row r="40" spans="1:12" x14ac:dyDescent="0.25">
      <c r="A40" s="193" t="s">
        <v>102</v>
      </c>
      <c r="B40" s="194" t="s">
        <v>102</v>
      </c>
      <c r="C40" s="195">
        <v>67311</v>
      </c>
      <c r="D40" s="195">
        <v>21546</v>
      </c>
      <c r="E40" s="195">
        <v>29349</v>
      </c>
      <c r="F40" s="195">
        <v>65312</v>
      </c>
      <c r="G40" s="195">
        <v>59601</v>
      </c>
      <c r="H40" s="195">
        <v>55799</v>
      </c>
      <c r="I40" s="195">
        <v>58998</v>
      </c>
      <c r="J40" s="212">
        <f>IFERROR(I40/H40-1,"-")</f>
        <v>5.7330776537213968E-2</v>
      </c>
      <c r="K40" s="194">
        <f t="shared" si="15"/>
        <v>3199</v>
      </c>
      <c r="L40" s="196">
        <f t="shared" si="14"/>
        <v>1.2332473863152976E-2</v>
      </c>
    </row>
    <row r="41" spans="1:12" x14ac:dyDescent="0.25">
      <c r="A41" s="1"/>
      <c r="B41" s="190" t="s">
        <v>109</v>
      </c>
      <c r="C41" s="191">
        <v>1077022</v>
      </c>
      <c r="D41" s="191">
        <v>342577</v>
      </c>
      <c r="E41" s="191">
        <v>202161</v>
      </c>
      <c r="F41" s="191">
        <v>983423</v>
      </c>
      <c r="G41" s="191">
        <v>1072792</v>
      </c>
      <c r="H41" s="191">
        <v>1142820</v>
      </c>
      <c r="I41" s="191">
        <v>1165366</v>
      </c>
      <c r="J41" s="211">
        <f>IFERROR(I41/H41-1,"-")</f>
        <v>1.9728391172713078E-2</v>
      </c>
      <c r="K41" s="190">
        <f t="shared" si="15"/>
        <v>22546</v>
      </c>
      <c r="L41" s="192">
        <f t="shared" si="14"/>
        <v>0.24359886328362201</v>
      </c>
    </row>
    <row r="42" spans="1:12" s="74" customFormat="1" x14ac:dyDescent="0.25">
      <c r="B42" s="194" t="s">
        <v>112</v>
      </c>
      <c r="C42" s="195">
        <v>605142</v>
      </c>
      <c r="D42" s="195">
        <v>153858</v>
      </c>
      <c r="E42" s="195">
        <v>52156</v>
      </c>
      <c r="F42" s="195">
        <v>514059</v>
      </c>
      <c r="G42" s="195">
        <v>574197</v>
      </c>
      <c r="H42" s="195">
        <v>622655</v>
      </c>
      <c r="I42" s="195">
        <v>627518</v>
      </c>
      <c r="J42" s="212">
        <f t="shared" ref="J42:J49" si="16">IFERROR(I42/H42-1,"-")</f>
        <v>7.8101035083633086E-3</v>
      </c>
      <c r="K42" s="194">
        <f t="shared" si="15"/>
        <v>4863</v>
      </c>
      <c r="L42" s="196">
        <f t="shared" si="14"/>
        <v>0.13117138434621564</v>
      </c>
    </row>
    <row r="43" spans="1:12" s="74" customFormat="1" x14ac:dyDescent="0.25">
      <c r="B43" s="194" t="s">
        <v>115</v>
      </c>
      <c r="C43" s="195">
        <v>48943</v>
      </c>
      <c r="D43" s="195">
        <v>16868</v>
      </c>
      <c r="E43" s="195">
        <v>11167</v>
      </c>
      <c r="F43" s="195">
        <v>32483</v>
      </c>
      <c r="G43" s="195">
        <v>38538</v>
      </c>
      <c r="H43" s="195">
        <v>37501</v>
      </c>
      <c r="I43" s="195">
        <v>40799</v>
      </c>
      <c r="J43" s="212">
        <f t="shared" si="16"/>
        <v>8.794432148476039E-2</v>
      </c>
      <c r="K43" s="194">
        <f t="shared" si="15"/>
        <v>3298</v>
      </c>
      <c r="L43" s="196">
        <f t="shared" si="14"/>
        <v>8.5282992837516242E-3</v>
      </c>
    </row>
    <row r="44" spans="1:12" x14ac:dyDescent="0.25">
      <c r="A44" s="1"/>
      <c r="B44" s="194" t="s">
        <v>118</v>
      </c>
      <c r="C44" s="195">
        <v>22209</v>
      </c>
      <c r="D44" s="195">
        <v>8537</v>
      </c>
      <c r="E44" s="195">
        <v>14498</v>
      </c>
      <c r="F44" s="195">
        <v>23461</v>
      </c>
      <c r="G44" s="195">
        <v>26431</v>
      </c>
      <c r="H44" s="195">
        <v>27080</v>
      </c>
      <c r="I44" s="195">
        <v>28785</v>
      </c>
      <c r="J44" s="212">
        <f t="shared" si="16"/>
        <v>6.2961595273264503E-2</v>
      </c>
      <c r="K44" s="194">
        <f t="shared" si="15"/>
        <v>1705</v>
      </c>
      <c r="L44" s="196">
        <f t="shared" si="14"/>
        <v>6.0169880360496702E-3</v>
      </c>
    </row>
    <row r="45" spans="1:12" x14ac:dyDescent="0.25">
      <c r="A45" s="1"/>
      <c r="B45" s="194" t="s">
        <v>125</v>
      </c>
      <c r="C45" s="195">
        <v>52093</v>
      </c>
      <c r="D45" s="195">
        <v>15231</v>
      </c>
      <c r="E45" s="195">
        <v>17026</v>
      </c>
      <c r="F45" s="195">
        <v>56761</v>
      </c>
      <c r="G45" s="195">
        <v>53124</v>
      </c>
      <c r="H45" s="195">
        <v>54019</v>
      </c>
      <c r="I45" s="195">
        <v>50045</v>
      </c>
      <c r="J45" s="212">
        <f t="shared" si="16"/>
        <v>-7.3566708010144533E-2</v>
      </c>
      <c r="K45" s="194">
        <f t="shared" si="15"/>
        <v>-3974</v>
      </c>
      <c r="L45" s="196">
        <f t="shared" si="14"/>
        <v>1.0461009771203952E-2</v>
      </c>
    </row>
    <row r="46" spans="1:12" x14ac:dyDescent="0.25">
      <c r="A46" s="1"/>
      <c r="B46" s="194" t="s">
        <v>121</v>
      </c>
      <c r="C46" s="195">
        <v>36621</v>
      </c>
      <c r="D46" s="195">
        <v>16055</v>
      </c>
      <c r="E46" s="195">
        <v>12032</v>
      </c>
      <c r="F46" s="195">
        <v>33710</v>
      </c>
      <c r="G46" s="195">
        <v>39211</v>
      </c>
      <c r="H46" s="195">
        <v>41026</v>
      </c>
      <c r="I46" s="195">
        <v>36616</v>
      </c>
      <c r="J46" s="212">
        <f t="shared" si="16"/>
        <v>-0.10749280943791739</v>
      </c>
      <c r="K46" s="194">
        <f t="shared" si="15"/>
        <v>-4410</v>
      </c>
      <c r="L46" s="196">
        <f t="shared" si="14"/>
        <v>7.6539181493136951E-3</v>
      </c>
    </row>
    <row r="47" spans="1:12" x14ac:dyDescent="0.25">
      <c r="A47" s="1"/>
      <c r="B47" s="194" t="s">
        <v>130</v>
      </c>
      <c r="C47" s="195">
        <v>23435</v>
      </c>
      <c r="D47" s="195">
        <v>12205</v>
      </c>
      <c r="E47" s="195">
        <v>2791</v>
      </c>
      <c r="F47" s="195">
        <v>17977</v>
      </c>
      <c r="G47" s="195">
        <v>19532</v>
      </c>
      <c r="H47" s="195">
        <v>18549</v>
      </c>
      <c r="I47" s="195">
        <v>18744</v>
      </c>
      <c r="J47" s="212">
        <f t="shared" si="16"/>
        <v>1.0512696102215724E-2</v>
      </c>
      <c r="K47" s="194">
        <f t="shared" si="15"/>
        <v>195</v>
      </c>
      <c r="L47" s="196">
        <f t="shared" si="14"/>
        <v>3.9180970556788267E-3</v>
      </c>
    </row>
    <row r="48" spans="1:12" x14ac:dyDescent="0.25">
      <c r="A48" s="193" t="s">
        <v>146</v>
      </c>
      <c r="B48" s="194" t="s">
        <v>133</v>
      </c>
      <c r="C48" s="195">
        <v>33102</v>
      </c>
      <c r="D48" s="195">
        <v>20242</v>
      </c>
      <c r="E48" s="195">
        <v>2358</v>
      </c>
      <c r="F48" s="195">
        <v>15210</v>
      </c>
      <c r="G48" s="195">
        <v>19214</v>
      </c>
      <c r="H48" s="195">
        <v>20101</v>
      </c>
      <c r="I48" s="195">
        <v>15995</v>
      </c>
      <c r="J48" s="212">
        <f t="shared" si="16"/>
        <v>-0.20426844435600222</v>
      </c>
      <c r="K48" s="194">
        <f t="shared" si="15"/>
        <v>-4106</v>
      </c>
      <c r="L48" s="196">
        <f t="shared" si="14"/>
        <v>3.3434679046939197E-3</v>
      </c>
    </row>
    <row r="49" spans="1:12" x14ac:dyDescent="0.25">
      <c r="A49" s="198" t="s">
        <v>147</v>
      </c>
      <c r="B49" s="199" t="s">
        <v>147</v>
      </c>
      <c r="C49" s="200">
        <f t="shared" ref="C49" si="17">C41-SUM(C42:C48)</f>
        <v>255477</v>
      </c>
      <c r="D49" s="200">
        <f t="shared" ref="D49:I49" si="18">D41-SUM(D42:D48)</f>
        <v>99581</v>
      </c>
      <c r="E49" s="200">
        <f t="shared" si="18"/>
        <v>90133</v>
      </c>
      <c r="F49" s="200">
        <f t="shared" si="18"/>
        <v>289762</v>
      </c>
      <c r="G49" s="200">
        <f t="shared" si="18"/>
        <v>302545</v>
      </c>
      <c r="H49" s="200">
        <f t="shared" si="18"/>
        <v>321889</v>
      </c>
      <c r="I49" s="200">
        <f t="shared" si="18"/>
        <v>346864</v>
      </c>
      <c r="J49" s="213">
        <f t="shared" si="16"/>
        <v>7.7588858271018912E-2</v>
      </c>
      <c r="K49" s="199">
        <f>I49-H49</f>
        <v>24975</v>
      </c>
      <c r="L49" s="201">
        <f t="shared" si="14"/>
        <v>7.250569873671471E-2</v>
      </c>
    </row>
    <row r="50" spans="1:12" x14ac:dyDescent="0.25">
      <c r="A50" s="1"/>
      <c r="B50" s="186" t="s">
        <v>48</v>
      </c>
      <c r="C50" s="184"/>
      <c r="D50" s="184"/>
      <c r="E50" s="184"/>
      <c r="F50" s="184"/>
      <c r="G50" s="184"/>
      <c r="H50" s="184"/>
      <c r="I50" s="184"/>
      <c r="J50" s="185"/>
      <c r="K50" s="185"/>
      <c r="L50" s="184"/>
    </row>
    <row r="51" spans="1:12" x14ac:dyDescent="0.25">
      <c r="A51" s="1"/>
      <c r="B51" s="187" t="s">
        <v>70</v>
      </c>
      <c r="C51" s="209">
        <v>37865</v>
      </c>
      <c r="D51" s="209">
        <v>13314</v>
      </c>
      <c r="E51" s="209">
        <v>12698</v>
      </c>
      <c r="F51" s="209">
        <v>28629</v>
      </c>
      <c r="G51" s="209">
        <v>39892</v>
      </c>
      <c r="H51" s="209">
        <v>35375</v>
      </c>
      <c r="I51" s="209">
        <v>35673</v>
      </c>
      <c r="J51" s="210">
        <f>IFERROR(I51/H51-1,"-")</f>
        <v>8.4240282685512646E-3</v>
      </c>
      <c r="K51" s="209">
        <f>I51-H51</f>
        <v>298</v>
      </c>
      <c r="L51" s="210">
        <f t="shared" ref="L51:L63" si="19">I51/I$9</f>
        <v>7.4568009105436817E-3</v>
      </c>
    </row>
    <row r="52" spans="1:12" x14ac:dyDescent="0.25">
      <c r="A52" s="1" t="s">
        <v>98</v>
      </c>
      <c r="B52" s="190" t="s">
        <v>99</v>
      </c>
      <c r="C52" s="191">
        <v>8966</v>
      </c>
      <c r="D52" s="191">
        <v>2278</v>
      </c>
      <c r="E52" s="191">
        <v>4201</v>
      </c>
      <c r="F52" s="191">
        <v>4513</v>
      </c>
      <c r="G52" s="191">
        <v>16849</v>
      </c>
      <c r="H52" s="191">
        <v>9052</v>
      </c>
      <c r="I52" s="191">
        <v>7411</v>
      </c>
      <c r="J52" s="211">
        <f>IFERROR(I52/H52-1,"-")</f>
        <v>-0.1812859036676977</v>
      </c>
      <c r="K52" s="190">
        <f t="shared" ref="K52:K62" si="20">I52-H52</f>
        <v>-1641</v>
      </c>
      <c r="L52" s="192">
        <f t="shared" si="19"/>
        <v>1.5491366453070734E-3</v>
      </c>
    </row>
    <row r="53" spans="1:12" x14ac:dyDescent="0.25">
      <c r="A53" s="193" t="s">
        <v>105</v>
      </c>
      <c r="B53" s="194" t="s">
        <v>105</v>
      </c>
      <c r="C53" s="195">
        <v>5174</v>
      </c>
      <c r="D53" s="195">
        <v>1633</v>
      </c>
      <c r="E53" s="195">
        <v>2093</v>
      </c>
      <c r="F53" s="195">
        <v>2216</v>
      </c>
      <c r="G53" s="195">
        <v>12509</v>
      </c>
      <c r="H53" s="195">
        <v>6046</v>
      </c>
      <c r="I53" s="195">
        <v>4265</v>
      </c>
      <c r="J53" s="212">
        <f>IFERROR(I53/H53-1,"-")</f>
        <v>-0.29457492557062526</v>
      </c>
      <c r="K53" s="194">
        <f t="shared" si="20"/>
        <v>-1781</v>
      </c>
      <c r="L53" s="196">
        <f t="shared" si="19"/>
        <v>8.9152176389619049E-4</v>
      </c>
    </row>
    <row r="54" spans="1:12" x14ac:dyDescent="0.25">
      <c r="A54" s="193" t="s">
        <v>102</v>
      </c>
      <c r="B54" s="194" t="s">
        <v>102</v>
      </c>
      <c r="C54" s="195">
        <v>3792</v>
      </c>
      <c r="D54" s="195">
        <v>645</v>
      </c>
      <c r="E54" s="195">
        <v>2108</v>
      </c>
      <c r="F54" s="195">
        <v>2297</v>
      </c>
      <c r="G54" s="195">
        <v>4340</v>
      </c>
      <c r="H54" s="195">
        <v>3006</v>
      </c>
      <c r="I54" s="195">
        <v>3146</v>
      </c>
      <c r="J54" s="212">
        <f>IFERROR(I54/H54-1,"-")</f>
        <v>4.6573519627411741E-2</v>
      </c>
      <c r="K54" s="194">
        <f t="shared" si="20"/>
        <v>140</v>
      </c>
      <c r="L54" s="196">
        <f t="shared" si="19"/>
        <v>6.5761488141088281E-4</v>
      </c>
    </row>
    <row r="55" spans="1:12" x14ac:dyDescent="0.25">
      <c r="A55" s="1"/>
      <c r="B55" s="190" t="s">
        <v>109</v>
      </c>
      <c r="C55" s="191">
        <v>28899</v>
      </c>
      <c r="D55" s="191">
        <v>11036</v>
      </c>
      <c r="E55" s="191">
        <v>8497</v>
      </c>
      <c r="F55" s="191">
        <v>24116</v>
      </c>
      <c r="G55" s="191">
        <v>23043</v>
      </c>
      <c r="H55" s="191">
        <v>26323</v>
      </c>
      <c r="I55" s="191">
        <v>28262</v>
      </c>
      <c r="J55" s="211">
        <f>IFERROR(I55/H55-1,"-")</f>
        <v>7.3661816662234481E-2</v>
      </c>
      <c r="K55" s="190">
        <f t="shared" si="20"/>
        <v>1939</v>
      </c>
      <c r="L55" s="192">
        <f t="shared" si="19"/>
        <v>5.9076642652366087E-3</v>
      </c>
    </row>
    <row r="56" spans="1:12" s="74" customFormat="1" x14ac:dyDescent="0.25">
      <c r="B56" s="194" t="s">
        <v>112</v>
      </c>
      <c r="C56" s="195">
        <v>9134</v>
      </c>
      <c r="D56" s="195">
        <v>3687</v>
      </c>
      <c r="E56" s="195">
        <v>1159</v>
      </c>
      <c r="F56" s="195">
        <v>8924</v>
      </c>
      <c r="G56" s="195">
        <v>7779</v>
      </c>
      <c r="H56" s="195">
        <v>9591</v>
      </c>
      <c r="I56" s="195">
        <v>10467</v>
      </c>
      <c r="J56" s="212">
        <f t="shared" ref="J56:J63" si="21">IFERROR(I56/H56-1,"-")</f>
        <v>9.1335627150453513E-2</v>
      </c>
      <c r="K56" s="194">
        <f t="shared" si="20"/>
        <v>876</v>
      </c>
      <c r="L56" s="196">
        <f t="shared" si="19"/>
        <v>2.1879386407271809E-3</v>
      </c>
    </row>
    <row r="57" spans="1:12" s="74" customFormat="1" x14ac:dyDescent="0.25">
      <c r="B57" s="194" t="s">
        <v>115</v>
      </c>
      <c r="C57" s="195">
        <v>7776</v>
      </c>
      <c r="D57" s="195">
        <v>2846</v>
      </c>
      <c r="E57" s="195">
        <v>2811</v>
      </c>
      <c r="F57" s="195">
        <v>5361</v>
      </c>
      <c r="G57" s="195">
        <v>4085</v>
      </c>
      <c r="H57" s="195">
        <v>5197</v>
      </c>
      <c r="I57" s="195">
        <v>5465</v>
      </c>
      <c r="J57" s="212">
        <f t="shared" si="21"/>
        <v>5.1568212430248117E-2</v>
      </c>
      <c r="K57" s="194">
        <f t="shared" si="20"/>
        <v>268</v>
      </c>
      <c r="L57" s="196">
        <f t="shared" si="19"/>
        <v>1.1423602437731961E-3</v>
      </c>
    </row>
    <row r="58" spans="1:12" x14ac:dyDescent="0.25">
      <c r="A58" s="1"/>
      <c r="B58" s="194" t="s">
        <v>118</v>
      </c>
      <c r="C58" s="195">
        <v>1942</v>
      </c>
      <c r="D58" s="195">
        <v>528</v>
      </c>
      <c r="E58" s="195">
        <v>1083</v>
      </c>
      <c r="F58" s="195">
        <v>1901</v>
      </c>
      <c r="G58" s="195">
        <v>2208</v>
      </c>
      <c r="H58" s="195">
        <v>1788</v>
      </c>
      <c r="I58" s="195">
        <v>2071</v>
      </c>
      <c r="J58" s="212">
        <f t="shared" si="21"/>
        <v>0.15827740492170017</v>
      </c>
      <c r="K58" s="194">
        <f t="shared" si="20"/>
        <v>283</v>
      </c>
      <c r="L58" s="196">
        <f t="shared" si="19"/>
        <v>4.3290540985439871E-4</v>
      </c>
    </row>
    <row r="59" spans="1:12" x14ac:dyDescent="0.25">
      <c r="A59" s="1"/>
      <c r="B59" s="194" t="s">
        <v>125</v>
      </c>
      <c r="C59" s="195">
        <v>686</v>
      </c>
      <c r="D59" s="195">
        <v>258</v>
      </c>
      <c r="E59" s="195">
        <v>231</v>
      </c>
      <c r="F59" s="195">
        <v>649</v>
      </c>
      <c r="G59" s="195">
        <v>489</v>
      </c>
      <c r="H59" s="195">
        <v>873</v>
      </c>
      <c r="I59" s="195">
        <v>886</v>
      </c>
      <c r="J59" s="212">
        <f t="shared" si="21"/>
        <v>1.4891179839633395E-2</v>
      </c>
      <c r="K59" s="194">
        <f t="shared" si="20"/>
        <v>13</v>
      </c>
      <c r="L59" s="196">
        <f t="shared" si="19"/>
        <v>1.8520241097585576E-4</v>
      </c>
    </row>
    <row r="60" spans="1:12" x14ac:dyDescent="0.25">
      <c r="A60" s="1"/>
      <c r="B60" s="194" t="s">
        <v>121</v>
      </c>
      <c r="C60" s="195">
        <v>668</v>
      </c>
      <c r="D60" s="195">
        <v>239</v>
      </c>
      <c r="E60" s="195">
        <v>238</v>
      </c>
      <c r="F60" s="195">
        <v>583</v>
      </c>
      <c r="G60" s="195">
        <v>511</v>
      </c>
      <c r="H60" s="195">
        <v>569</v>
      </c>
      <c r="I60" s="195">
        <v>675</v>
      </c>
      <c r="J60" s="212">
        <f t="shared" si="21"/>
        <v>0.18629173989455183</v>
      </c>
      <c r="K60" s="194">
        <f t="shared" si="20"/>
        <v>106</v>
      </c>
      <c r="L60" s="196">
        <f t="shared" si="19"/>
        <v>1.410966449308156E-4</v>
      </c>
    </row>
    <row r="61" spans="1:12" x14ac:dyDescent="0.25">
      <c r="A61" s="1"/>
      <c r="B61" s="194" t="s">
        <v>130</v>
      </c>
      <c r="C61" s="195">
        <v>203</v>
      </c>
      <c r="D61" s="195">
        <v>147</v>
      </c>
      <c r="E61" s="195">
        <v>42</v>
      </c>
      <c r="F61" s="195">
        <v>76</v>
      </c>
      <c r="G61" s="195">
        <v>182</v>
      </c>
      <c r="H61" s="195">
        <v>111</v>
      </c>
      <c r="I61" s="195">
        <v>186</v>
      </c>
      <c r="J61" s="212">
        <f t="shared" si="21"/>
        <v>0.67567567567567566</v>
      </c>
      <c r="K61" s="194">
        <f t="shared" si="20"/>
        <v>75</v>
      </c>
      <c r="L61" s="196">
        <f t="shared" si="19"/>
        <v>3.8879964380935858E-5</v>
      </c>
    </row>
    <row r="62" spans="1:12" x14ac:dyDescent="0.25">
      <c r="A62" s="193" t="s">
        <v>146</v>
      </c>
      <c r="B62" s="194" t="s">
        <v>133</v>
      </c>
      <c r="C62" s="195">
        <v>347</v>
      </c>
      <c r="D62" s="195">
        <v>253</v>
      </c>
      <c r="E62" s="195">
        <v>25</v>
      </c>
      <c r="F62" s="195">
        <v>103</v>
      </c>
      <c r="G62" s="195">
        <v>161</v>
      </c>
      <c r="H62" s="195">
        <v>107</v>
      </c>
      <c r="I62" s="195">
        <v>439</v>
      </c>
      <c r="J62" s="212">
        <f t="shared" si="21"/>
        <v>3.1028037383177569</v>
      </c>
      <c r="K62" s="194">
        <f t="shared" si="20"/>
        <v>332</v>
      </c>
      <c r="L62" s="196">
        <f t="shared" si="19"/>
        <v>9.1765077221671196E-5</v>
      </c>
    </row>
    <row r="63" spans="1:12" x14ac:dyDescent="0.25">
      <c r="A63" s="198" t="s">
        <v>147</v>
      </c>
      <c r="B63" s="199" t="s">
        <v>147</v>
      </c>
      <c r="C63" s="200">
        <f t="shared" ref="C63" si="22">C55-SUM(C56:C62)</f>
        <v>8143</v>
      </c>
      <c r="D63" s="200">
        <f t="shared" ref="D63:I63" si="23">D55-SUM(D56:D62)</f>
        <v>3078</v>
      </c>
      <c r="E63" s="200">
        <f t="shared" si="23"/>
        <v>2908</v>
      </c>
      <c r="F63" s="200">
        <f t="shared" si="23"/>
        <v>6519</v>
      </c>
      <c r="G63" s="200">
        <f t="shared" si="23"/>
        <v>7628</v>
      </c>
      <c r="H63" s="200">
        <f t="shared" si="23"/>
        <v>8087</v>
      </c>
      <c r="I63" s="200">
        <f t="shared" si="23"/>
        <v>8073</v>
      </c>
      <c r="J63" s="213">
        <f t="shared" si="21"/>
        <v>-1.7311734883145302E-3</v>
      </c>
      <c r="K63" s="199">
        <f>I63-H63</f>
        <v>-14</v>
      </c>
      <c r="L63" s="201">
        <f t="shared" si="19"/>
        <v>1.6875158733725547E-3</v>
      </c>
    </row>
    <row r="64" spans="1:12" x14ac:dyDescent="0.25">
      <c r="A64" s="1"/>
      <c r="B64" s="186" t="s">
        <v>49</v>
      </c>
      <c r="C64" s="184"/>
      <c r="D64" s="184"/>
      <c r="E64" s="184"/>
      <c r="F64" s="184"/>
      <c r="G64" s="184"/>
      <c r="H64" s="184"/>
      <c r="I64" s="184"/>
      <c r="J64" s="185"/>
      <c r="K64" s="185"/>
      <c r="L64" s="184"/>
    </row>
    <row r="65" spans="1:12" x14ac:dyDescent="0.25">
      <c r="A65" s="1"/>
      <c r="B65" s="187" t="s">
        <v>70</v>
      </c>
      <c r="C65" s="209">
        <v>120888</v>
      </c>
      <c r="D65" s="209">
        <v>43485</v>
      </c>
      <c r="E65" s="209">
        <v>40371</v>
      </c>
      <c r="F65" s="209">
        <v>138765</v>
      </c>
      <c r="G65" s="209">
        <v>159652</v>
      </c>
      <c r="H65" s="209">
        <v>203839</v>
      </c>
      <c r="I65" s="209">
        <v>163994</v>
      </c>
      <c r="J65" s="210">
        <f>IFERROR(I65/H65-1,"-")</f>
        <v>-0.19547289772810894</v>
      </c>
      <c r="K65" s="209">
        <f>I65-H65</f>
        <v>-39845</v>
      </c>
      <c r="L65" s="210">
        <f t="shared" ref="L65:L77" si="24">I65/I$9</f>
        <v>3.4280004724124707E-2</v>
      </c>
    </row>
    <row r="66" spans="1:12" x14ac:dyDescent="0.25">
      <c r="A66" s="1" t="s">
        <v>98</v>
      </c>
      <c r="B66" s="190" t="s">
        <v>99</v>
      </c>
      <c r="C66" s="191">
        <v>37171</v>
      </c>
      <c r="D66" s="191">
        <v>18691</v>
      </c>
      <c r="E66" s="191">
        <v>20932</v>
      </c>
      <c r="F66" s="191">
        <v>31895</v>
      </c>
      <c r="G66" s="191">
        <v>43184</v>
      </c>
      <c r="H66" s="191">
        <v>54270</v>
      </c>
      <c r="I66" s="191">
        <v>37619</v>
      </c>
      <c r="J66" s="211">
        <f>IFERROR(I66/H66-1,"-")</f>
        <v>-0.30681776303666852</v>
      </c>
      <c r="K66" s="190">
        <f t="shared" ref="K66:K76" si="25">I66-H66</f>
        <v>-16651</v>
      </c>
      <c r="L66" s="192">
        <f t="shared" si="24"/>
        <v>7.86357731207756E-3</v>
      </c>
    </row>
    <row r="67" spans="1:12" x14ac:dyDescent="0.25">
      <c r="A67" s="193" t="s">
        <v>105</v>
      </c>
      <c r="B67" s="194" t="s">
        <v>105</v>
      </c>
      <c r="C67" s="195">
        <v>19872</v>
      </c>
      <c r="D67" s="195">
        <v>6598</v>
      </c>
      <c r="E67" s="195">
        <v>17805</v>
      </c>
      <c r="F67" s="195">
        <v>24228</v>
      </c>
      <c r="G67" s="195">
        <v>30399</v>
      </c>
      <c r="H67" s="195">
        <v>32812</v>
      </c>
      <c r="I67" s="195">
        <v>12945</v>
      </c>
      <c r="J67" s="212">
        <f>IFERROR(I67/H67-1,"-")</f>
        <v>-0.60547970254784833</v>
      </c>
      <c r="K67" s="194">
        <f t="shared" si="25"/>
        <v>-19867</v>
      </c>
      <c r="L67" s="196">
        <f t="shared" si="24"/>
        <v>2.7059201016731973E-3</v>
      </c>
    </row>
    <row r="68" spans="1:12" x14ac:dyDescent="0.25">
      <c r="A68" s="193" t="s">
        <v>102</v>
      </c>
      <c r="B68" s="194" t="s">
        <v>102</v>
      </c>
      <c r="C68" s="195">
        <v>17299</v>
      </c>
      <c r="D68" s="195">
        <v>12093</v>
      </c>
      <c r="E68" s="195">
        <v>3127</v>
      </c>
      <c r="F68" s="195">
        <v>7667</v>
      </c>
      <c r="G68" s="195">
        <v>12785</v>
      </c>
      <c r="H68" s="195">
        <v>21458</v>
      </c>
      <c r="I68" s="195">
        <v>24674</v>
      </c>
      <c r="J68" s="212">
        <f>IFERROR(I68/H68-1,"-")</f>
        <v>0.14987417280268422</v>
      </c>
      <c r="K68" s="194">
        <f t="shared" si="25"/>
        <v>3216</v>
      </c>
      <c r="L68" s="196">
        <f t="shared" si="24"/>
        <v>5.1576572104043619E-3</v>
      </c>
    </row>
    <row r="69" spans="1:12" x14ac:dyDescent="0.25">
      <c r="A69" s="1"/>
      <c r="B69" s="190" t="s">
        <v>109</v>
      </c>
      <c r="C69" s="191">
        <v>83717</v>
      </c>
      <c r="D69" s="191">
        <v>24794</v>
      </c>
      <c r="E69" s="191">
        <v>19439</v>
      </c>
      <c r="F69" s="191">
        <v>106870</v>
      </c>
      <c r="G69" s="191">
        <v>116468</v>
      </c>
      <c r="H69" s="191">
        <v>149569</v>
      </c>
      <c r="I69" s="191">
        <v>126375</v>
      </c>
      <c r="J69" s="211">
        <f>IFERROR(I69/H69-1,"-")</f>
        <v>-0.15507224090553529</v>
      </c>
      <c r="K69" s="190">
        <f t="shared" si="25"/>
        <v>-23194</v>
      </c>
      <c r="L69" s="192">
        <f t="shared" si="24"/>
        <v>2.6416427412047146E-2</v>
      </c>
    </row>
    <row r="70" spans="1:12" s="74" customFormat="1" x14ac:dyDescent="0.25">
      <c r="B70" s="194" t="s">
        <v>112</v>
      </c>
      <c r="C70" s="195">
        <v>36607</v>
      </c>
      <c r="D70" s="195">
        <v>9459</v>
      </c>
      <c r="E70" s="195">
        <v>3755</v>
      </c>
      <c r="F70" s="195">
        <v>51047</v>
      </c>
      <c r="G70" s="195">
        <v>43634</v>
      </c>
      <c r="H70" s="195">
        <v>65010</v>
      </c>
      <c r="I70" s="195">
        <v>65165</v>
      </c>
      <c r="J70" s="212">
        <f t="shared" ref="J70:J77" si="26">IFERROR(I70/H70-1,"-")</f>
        <v>2.3842485771419231E-3</v>
      </c>
      <c r="K70" s="194">
        <f t="shared" si="25"/>
        <v>155</v>
      </c>
      <c r="L70" s="196">
        <f t="shared" si="24"/>
        <v>1.3621574617654222E-2</v>
      </c>
    </row>
    <row r="71" spans="1:12" s="74" customFormat="1" x14ac:dyDescent="0.25">
      <c r="B71" s="194" t="s">
        <v>115</v>
      </c>
      <c r="C71" s="195">
        <v>10194</v>
      </c>
      <c r="D71" s="195">
        <v>3155</v>
      </c>
      <c r="E71" s="195">
        <v>2787</v>
      </c>
      <c r="F71" s="195">
        <v>7183</v>
      </c>
      <c r="G71" s="195">
        <v>8579</v>
      </c>
      <c r="H71" s="195">
        <v>8544</v>
      </c>
      <c r="I71" s="195">
        <v>8856</v>
      </c>
      <c r="J71" s="212">
        <f t="shared" si="26"/>
        <v>3.6516853932584192E-2</v>
      </c>
      <c r="K71" s="194">
        <f t="shared" si="25"/>
        <v>312</v>
      </c>
      <c r="L71" s="196">
        <f t="shared" si="24"/>
        <v>1.8511879814923009E-3</v>
      </c>
    </row>
    <row r="72" spans="1:12" x14ac:dyDescent="0.25">
      <c r="A72" s="1"/>
      <c r="B72" s="194" t="s">
        <v>118</v>
      </c>
      <c r="C72" s="195">
        <v>9314</v>
      </c>
      <c r="D72" s="195">
        <v>3087</v>
      </c>
      <c r="E72" s="195">
        <v>3152</v>
      </c>
      <c r="F72" s="195">
        <v>13414</v>
      </c>
      <c r="G72" s="195">
        <v>12962</v>
      </c>
      <c r="H72" s="195">
        <v>16959</v>
      </c>
      <c r="I72" s="195">
        <v>8912</v>
      </c>
      <c r="J72" s="212">
        <f t="shared" si="26"/>
        <v>-0.47449731705878884</v>
      </c>
      <c r="K72" s="194">
        <f t="shared" si="25"/>
        <v>-8047</v>
      </c>
      <c r="L72" s="196">
        <f t="shared" si="24"/>
        <v>1.8628937772198944E-3</v>
      </c>
    </row>
    <row r="73" spans="1:12" x14ac:dyDescent="0.25">
      <c r="A73" s="1"/>
      <c r="B73" s="194" t="s">
        <v>125</v>
      </c>
      <c r="C73" s="195">
        <v>1607</v>
      </c>
      <c r="D73" s="195">
        <v>294</v>
      </c>
      <c r="E73" s="195">
        <v>1094</v>
      </c>
      <c r="F73" s="195">
        <v>2967</v>
      </c>
      <c r="G73" s="195">
        <v>3590</v>
      </c>
      <c r="H73" s="195">
        <v>5602</v>
      </c>
      <c r="I73" s="195">
        <v>5005</v>
      </c>
      <c r="J73" s="212">
        <f t="shared" si="26"/>
        <v>-0.10656908247054619</v>
      </c>
      <c r="K73" s="194">
        <f t="shared" si="25"/>
        <v>-597</v>
      </c>
      <c r="L73" s="196">
        <f t="shared" si="24"/>
        <v>1.0462054931536773E-3</v>
      </c>
    </row>
    <row r="74" spans="1:12" x14ac:dyDescent="0.25">
      <c r="A74" s="1"/>
      <c r="B74" s="194" t="s">
        <v>121</v>
      </c>
      <c r="C74" s="195">
        <v>1869</v>
      </c>
      <c r="D74" s="195">
        <v>900</v>
      </c>
      <c r="E74" s="195">
        <v>1293</v>
      </c>
      <c r="F74" s="195">
        <v>3041</v>
      </c>
      <c r="G74" s="195">
        <v>2518</v>
      </c>
      <c r="H74" s="195">
        <v>3677</v>
      </c>
      <c r="I74" s="195">
        <v>2556</v>
      </c>
      <c r="J74" s="212">
        <f t="shared" si="26"/>
        <v>-0.3048680989937449</v>
      </c>
      <c r="K74" s="194">
        <f t="shared" si="25"/>
        <v>-1121</v>
      </c>
      <c r="L74" s="196">
        <f t="shared" si="24"/>
        <v>5.3428596213802183E-4</v>
      </c>
    </row>
    <row r="75" spans="1:12" x14ac:dyDescent="0.25">
      <c r="A75" s="1"/>
      <c r="B75" s="194" t="s">
        <v>130</v>
      </c>
      <c r="C75" s="195">
        <v>1437</v>
      </c>
      <c r="D75" s="195">
        <v>833</v>
      </c>
      <c r="E75" s="195">
        <v>24</v>
      </c>
      <c r="F75" s="195">
        <v>1467</v>
      </c>
      <c r="G75" s="195">
        <v>3950</v>
      </c>
      <c r="H75" s="195">
        <v>2868</v>
      </c>
      <c r="I75" s="195">
        <v>1871</v>
      </c>
      <c r="J75" s="212">
        <f t="shared" si="26"/>
        <v>-0.34762900976290101</v>
      </c>
      <c r="K75" s="194">
        <f t="shared" si="25"/>
        <v>-997</v>
      </c>
      <c r="L75" s="196">
        <f t="shared" si="24"/>
        <v>3.9109899654156448E-4</v>
      </c>
    </row>
    <row r="76" spans="1:12" x14ac:dyDescent="0.25">
      <c r="A76" s="193" t="s">
        <v>146</v>
      </c>
      <c r="B76" s="194" t="s">
        <v>133</v>
      </c>
      <c r="C76" s="195">
        <v>1580</v>
      </c>
      <c r="D76" s="195">
        <v>970</v>
      </c>
      <c r="E76" s="195">
        <v>7</v>
      </c>
      <c r="F76" s="195">
        <v>509</v>
      </c>
      <c r="G76" s="195">
        <v>1105</v>
      </c>
      <c r="H76" s="195">
        <v>2118</v>
      </c>
      <c r="I76" s="195">
        <v>2421</v>
      </c>
      <c r="J76" s="212">
        <f t="shared" si="26"/>
        <v>0.14305949008498575</v>
      </c>
      <c r="K76" s="194">
        <f t="shared" si="25"/>
        <v>303</v>
      </c>
      <c r="L76" s="196">
        <f t="shared" si="24"/>
        <v>5.0606663315185864E-4</v>
      </c>
    </row>
    <row r="77" spans="1:12" x14ac:dyDescent="0.25">
      <c r="A77" s="198" t="s">
        <v>147</v>
      </c>
      <c r="B77" s="199" t="s">
        <v>147</v>
      </c>
      <c r="C77" s="200">
        <f t="shared" ref="C77" si="27">C69-SUM(C70:C76)</f>
        <v>21109</v>
      </c>
      <c r="D77" s="200">
        <f t="shared" ref="D77:I77" si="28">D69-SUM(D70:D76)</f>
        <v>6096</v>
      </c>
      <c r="E77" s="200">
        <f t="shared" si="28"/>
        <v>7327</v>
      </c>
      <c r="F77" s="200">
        <f t="shared" si="28"/>
        <v>27242</v>
      </c>
      <c r="G77" s="200">
        <f t="shared" si="28"/>
        <v>40130</v>
      </c>
      <c r="H77" s="200">
        <f t="shared" si="28"/>
        <v>44791</v>
      </c>
      <c r="I77" s="200">
        <f t="shared" si="28"/>
        <v>31589</v>
      </c>
      <c r="J77" s="213">
        <f t="shared" si="26"/>
        <v>-0.29474671250920947</v>
      </c>
      <c r="K77" s="199">
        <f>I77-H77</f>
        <v>-13202</v>
      </c>
      <c r="L77" s="201">
        <f t="shared" si="24"/>
        <v>6.6031139506956063E-3</v>
      </c>
    </row>
    <row r="78" spans="1:12" x14ac:dyDescent="0.25">
      <c r="A78" s="1"/>
      <c r="B78" s="186" t="s">
        <v>50</v>
      </c>
      <c r="C78" s="184"/>
      <c r="D78" s="184"/>
      <c r="E78" s="184"/>
      <c r="F78" s="184"/>
      <c r="G78" s="184"/>
      <c r="H78" s="184"/>
      <c r="I78" s="184"/>
      <c r="J78" s="185"/>
      <c r="K78" s="185"/>
      <c r="L78" s="184"/>
    </row>
    <row r="79" spans="1:12" x14ac:dyDescent="0.25">
      <c r="A79" s="1"/>
      <c r="B79" s="187" t="s">
        <v>70</v>
      </c>
      <c r="C79" s="209">
        <v>708591</v>
      </c>
      <c r="D79" s="209">
        <v>226604</v>
      </c>
      <c r="E79" s="209">
        <v>232764</v>
      </c>
      <c r="F79" s="209">
        <v>604155</v>
      </c>
      <c r="G79" s="209">
        <v>699601</v>
      </c>
      <c r="H79" s="209">
        <v>804878</v>
      </c>
      <c r="I79" s="209">
        <v>822866</v>
      </c>
      <c r="J79" s="210">
        <f>IFERROR(I79/H79-1,"-")</f>
        <v>2.2348728627195724E-2</v>
      </c>
      <c r="K79" s="209">
        <f>I79-H79</f>
        <v>17988</v>
      </c>
      <c r="L79" s="210">
        <f t="shared" ref="L79:L91" si="29">I79/I$9</f>
        <v>0.17200538048539335</v>
      </c>
    </row>
    <row r="80" spans="1:12" x14ac:dyDescent="0.25">
      <c r="A80" s="1" t="s">
        <v>98</v>
      </c>
      <c r="B80" s="190" t="s">
        <v>99</v>
      </c>
      <c r="C80" s="191">
        <v>317076</v>
      </c>
      <c r="D80" s="191">
        <v>86191</v>
      </c>
      <c r="E80" s="191">
        <v>136663</v>
      </c>
      <c r="F80" s="191">
        <v>297509</v>
      </c>
      <c r="G80" s="191">
        <v>311175</v>
      </c>
      <c r="H80" s="191">
        <v>335415</v>
      </c>
      <c r="I80" s="191">
        <v>351369</v>
      </c>
      <c r="J80" s="211">
        <f>IFERROR(I80/H80-1,"-")</f>
        <v>4.7564956844506012E-2</v>
      </c>
      <c r="K80" s="190">
        <f t="shared" ref="K80:K90" si="30">I80-H80</f>
        <v>15954</v>
      </c>
      <c r="L80" s="192">
        <f t="shared" si="29"/>
        <v>7.3447388196586291E-2</v>
      </c>
    </row>
    <row r="81" spans="1:12" x14ac:dyDescent="0.25">
      <c r="A81" s="193" t="s">
        <v>105</v>
      </c>
      <c r="B81" s="194" t="s">
        <v>105</v>
      </c>
      <c r="C81" s="195">
        <v>59152</v>
      </c>
      <c r="D81" s="195">
        <v>17366</v>
      </c>
      <c r="E81" s="195">
        <v>47974</v>
      </c>
      <c r="F81" s="195">
        <v>79015</v>
      </c>
      <c r="G81" s="195">
        <v>81010</v>
      </c>
      <c r="H81" s="195">
        <v>90770</v>
      </c>
      <c r="I81" s="195">
        <v>83398</v>
      </c>
      <c r="J81" s="212">
        <f>IFERROR(I81/H81-1,"-")</f>
        <v>-8.121626087914513E-2</v>
      </c>
      <c r="K81" s="194">
        <f t="shared" si="30"/>
        <v>-7372</v>
      </c>
      <c r="L81" s="196">
        <f t="shared" si="29"/>
        <v>1.7432856287318756E-2</v>
      </c>
    </row>
    <row r="82" spans="1:12" x14ac:dyDescent="0.25">
      <c r="A82" s="193" t="s">
        <v>102</v>
      </c>
      <c r="B82" s="194" t="s">
        <v>102</v>
      </c>
      <c r="C82" s="195">
        <v>257924</v>
      </c>
      <c r="D82" s="195">
        <v>68825</v>
      </c>
      <c r="E82" s="195">
        <v>88689</v>
      </c>
      <c r="F82" s="195">
        <v>218494</v>
      </c>
      <c r="G82" s="195">
        <v>230165</v>
      </c>
      <c r="H82" s="195">
        <v>244645</v>
      </c>
      <c r="I82" s="195">
        <v>267971</v>
      </c>
      <c r="J82" s="212">
        <f>IFERROR(I82/H82-1,"-")</f>
        <v>9.5346318134439612E-2</v>
      </c>
      <c r="K82" s="194">
        <f t="shared" si="30"/>
        <v>23326</v>
      </c>
      <c r="L82" s="196">
        <f t="shared" si="29"/>
        <v>5.6014531909267543E-2</v>
      </c>
    </row>
    <row r="83" spans="1:12" x14ac:dyDescent="0.25">
      <c r="A83" s="1"/>
      <c r="B83" s="190" t="s">
        <v>109</v>
      </c>
      <c r="C83" s="191">
        <v>391515</v>
      </c>
      <c r="D83" s="191">
        <v>140413</v>
      </c>
      <c r="E83" s="191">
        <v>96101</v>
      </c>
      <c r="F83" s="191">
        <v>306646</v>
      </c>
      <c r="G83" s="191">
        <v>388426</v>
      </c>
      <c r="H83" s="191">
        <v>469463</v>
      </c>
      <c r="I83" s="191">
        <v>471497</v>
      </c>
      <c r="J83" s="211">
        <f>IFERROR(I83/H83-1,"-")</f>
        <v>4.3326098116358569E-3</v>
      </c>
      <c r="K83" s="190">
        <f t="shared" si="30"/>
        <v>2034</v>
      </c>
      <c r="L83" s="192">
        <f t="shared" si="29"/>
        <v>9.8557992288807059E-2</v>
      </c>
    </row>
    <row r="84" spans="1:12" s="74" customFormat="1" x14ac:dyDescent="0.25">
      <c r="B84" s="194" t="s">
        <v>112</v>
      </c>
      <c r="C84" s="195">
        <v>66844</v>
      </c>
      <c r="D84" s="195">
        <v>22902</v>
      </c>
      <c r="E84" s="195">
        <v>7355</v>
      </c>
      <c r="F84" s="195">
        <v>60499</v>
      </c>
      <c r="G84" s="195">
        <v>80527</v>
      </c>
      <c r="H84" s="195">
        <v>98327</v>
      </c>
      <c r="I84" s="195">
        <v>102440</v>
      </c>
      <c r="J84" s="212">
        <f t="shared" ref="J84:J91" si="31">IFERROR(I84/H84-1,"-")</f>
        <v>4.1829812767602004E-2</v>
      </c>
      <c r="K84" s="194">
        <f t="shared" si="30"/>
        <v>4113</v>
      </c>
      <c r="L84" s="196">
        <f t="shared" si="29"/>
        <v>2.1413244898833707E-2</v>
      </c>
    </row>
    <row r="85" spans="1:12" s="74" customFormat="1" x14ac:dyDescent="0.25">
      <c r="B85" s="194" t="s">
        <v>115</v>
      </c>
      <c r="C85" s="195">
        <v>151446</v>
      </c>
      <c r="D85" s="195">
        <v>50127</v>
      </c>
      <c r="E85" s="195">
        <v>25524</v>
      </c>
      <c r="F85" s="195">
        <v>96964</v>
      </c>
      <c r="G85" s="195">
        <v>112053</v>
      </c>
      <c r="H85" s="195">
        <v>127397</v>
      </c>
      <c r="I85" s="195">
        <v>124321</v>
      </c>
      <c r="J85" s="212">
        <f t="shared" si="31"/>
        <v>-2.414499556504468E-2</v>
      </c>
      <c r="K85" s="194">
        <f t="shared" si="30"/>
        <v>-3076</v>
      </c>
      <c r="L85" s="196">
        <f t="shared" si="29"/>
        <v>2.5987075547324337E-2</v>
      </c>
    </row>
    <row r="86" spans="1:12" x14ac:dyDescent="0.25">
      <c r="A86" s="1"/>
      <c r="B86" s="194" t="s">
        <v>118</v>
      </c>
      <c r="C86" s="195">
        <v>22436</v>
      </c>
      <c r="D86" s="195">
        <v>7727</v>
      </c>
      <c r="E86" s="195">
        <v>13719</v>
      </c>
      <c r="F86" s="195">
        <v>25848</v>
      </c>
      <c r="G86" s="195">
        <v>35482</v>
      </c>
      <c r="H86" s="195">
        <v>52069</v>
      </c>
      <c r="I86" s="195">
        <v>51890</v>
      </c>
      <c r="J86" s="212">
        <f t="shared" si="31"/>
        <v>-3.4377460677178506E-3</v>
      </c>
      <c r="K86" s="194">
        <f t="shared" si="30"/>
        <v>-179</v>
      </c>
      <c r="L86" s="196">
        <f t="shared" si="29"/>
        <v>1.0846673934014847E-2</v>
      </c>
    </row>
    <row r="87" spans="1:12" x14ac:dyDescent="0.25">
      <c r="A87" s="1"/>
      <c r="B87" s="194" t="s">
        <v>125</v>
      </c>
      <c r="C87" s="195">
        <v>9070</v>
      </c>
      <c r="D87" s="195">
        <v>2183</v>
      </c>
      <c r="E87" s="195">
        <v>2952</v>
      </c>
      <c r="F87" s="195">
        <v>9458</v>
      </c>
      <c r="G87" s="195">
        <v>10607</v>
      </c>
      <c r="H87" s="195">
        <v>16176</v>
      </c>
      <c r="I87" s="195">
        <v>14407</v>
      </c>
      <c r="J87" s="212">
        <f t="shared" si="31"/>
        <v>-0.1093595450049456</v>
      </c>
      <c r="K87" s="194">
        <f t="shared" si="30"/>
        <v>-1769</v>
      </c>
      <c r="L87" s="196">
        <f t="shared" si="29"/>
        <v>3.0115249829900156E-3</v>
      </c>
    </row>
    <row r="88" spans="1:12" x14ac:dyDescent="0.25">
      <c r="A88" s="1"/>
      <c r="B88" s="194" t="s">
        <v>121</v>
      </c>
      <c r="C88" s="195">
        <v>6144</v>
      </c>
      <c r="D88" s="195">
        <v>2091</v>
      </c>
      <c r="E88" s="195">
        <v>3072</v>
      </c>
      <c r="F88" s="195">
        <v>4903</v>
      </c>
      <c r="G88" s="195">
        <v>5833</v>
      </c>
      <c r="H88" s="195">
        <v>7727</v>
      </c>
      <c r="I88" s="195">
        <v>8085</v>
      </c>
      <c r="J88" s="212">
        <f t="shared" si="31"/>
        <v>4.633104697812862E-2</v>
      </c>
      <c r="K88" s="194">
        <f t="shared" si="30"/>
        <v>358</v>
      </c>
      <c r="L88" s="196">
        <f t="shared" si="29"/>
        <v>1.6900242581713249E-3</v>
      </c>
    </row>
    <row r="89" spans="1:12" x14ac:dyDescent="0.25">
      <c r="A89" s="1"/>
      <c r="B89" s="194" t="s">
        <v>130</v>
      </c>
      <c r="C89" s="195">
        <v>7267</v>
      </c>
      <c r="D89" s="195">
        <v>4124</v>
      </c>
      <c r="E89" s="195">
        <v>554</v>
      </c>
      <c r="F89" s="195">
        <v>5186</v>
      </c>
      <c r="G89" s="195">
        <v>7187</v>
      </c>
      <c r="H89" s="195">
        <v>6508</v>
      </c>
      <c r="I89" s="195">
        <v>6911</v>
      </c>
      <c r="J89" s="212">
        <f t="shared" si="31"/>
        <v>6.1923786109403745E-2</v>
      </c>
      <c r="K89" s="194">
        <f t="shared" si="30"/>
        <v>403</v>
      </c>
      <c r="L89" s="196">
        <f t="shared" si="29"/>
        <v>1.4446206120249877E-3</v>
      </c>
    </row>
    <row r="90" spans="1:12" x14ac:dyDescent="0.25">
      <c r="A90" s="193" t="s">
        <v>146</v>
      </c>
      <c r="B90" s="194" t="s">
        <v>133</v>
      </c>
      <c r="C90" s="195">
        <v>9587</v>
      </c>
      <c r="D90" s="195">
        <v>6595</v>
      </c>
      <c r="E90" s="195">
        <v>684</v>
      </c>
      <c r="F90" s="195">
        <v>4552</v>
      </c>
      <c r="G90" s="195">
        <v>7433</v>
      </c>
      <c r="H90" s="195">
        <v>8077</v>
      </c>
      <c r="I90" s="195">
        <v>5562</v>
      </c>
      <c r="J90" s="212">
        <f t="shared" si="31"/>
        <v>-0.31137798687631546</v>
      </c>
      <c r="K90" s="194">
        <f t="shared" si="30"/>
        <v>-2515</v>
      </c>
      <c r="L90" s="196">
        <f t="shared" si="29"/>
        <v>1.1626363542299207E-3</v>
      </c>
    </row>
    <row r="91" spans="1:12" x14ac:dyDescent="0.25">
      <c r="A91" s="198" t="s">
        <v>147</v>
      </c>
      <c r="B91" s="199" t="s">
        <v>147</v>
      </c>
      <c r="C91" s="200">
        <f t="shared" ref="C91" si="32">C83-SUM(C84:C90)</f>
        <v>118721</v>
      </c>
      <c r="D91" s="200">
        <f t="shared" ref="D91:I91" si="33">D83-SUM(D84:D90)</f>
        <v>44664</v>
      </c>
      <c r="E91" s="200">
        <f t="shared" si="33"/>
        <v>42241</v>
      </c>
      <c r="F91" s="200">
        <f t="shared" si="33"/>
        <v>99236</v>
      </c>
      <c r="G91" s="200">
        <f t="shared" si="33"/>
        <v>129304</v>
      </c>
      <c r="H91" s="200">
        <f t="shared" si="33"/>
        <v>153182</v>
      </c>
      <c r="I91" s="200">
        <f t="shared" si="33"/>
        <v>157881</v>
      </c>
      <c r="J91" s="213">
        <f t="shared" si="31"/>
        <v>3.067592798109442E-2</v>
      </c>
      <c r="K91" s="199">
        <f>I91-H91</f>
        <v>4699</v>
      </c>
      <c r="L91" s="201">
        <f t="shared" si="29"/>
        <v>3.3002191701217924E-2</v>
      </c>
    </row>
    <row r="92" spans="1:12" x14ac:dyDescent="0.25">
      <c r="A92" s="1"/>
      <c r="B92" s="186" t="s">
        <v>51</v>
      </c>
      <c r="C92" s="184"/>
      <c r="D92" s="184"/>
      <c r="E92" s="184"/>
      <c r="F92" s="184"/>
      <c r="G92" s="184"/>
      <c r="H92" s="184"/>
      <c r="I92" s="184"/>
      <c r="J92" s="185"/>
      <c r="K92" s="185"/>
      <c r="L92" s="184"/>
    </row>
    <row r="93" spans="1:12" x14ac:dyDescent="0.25">
      <c r="A93" s="1"/>
      <c r="B93" s="187" t="s">
        <v>70</v>
      </c>
      <c r="C93" s="209">
        <v>41336</v>
      </c>
      <c r="D93" s="209">
        <v>18240</v>
      </c>
      <c r="E93" s="209">
        <v>21851</v>
      </c>
      <c r="F93" s="209">
        <v>39143</v>
      </c>
      <c r="G93" s="209">
        <v>46340</v>
      </c>
      <c r="H93" s="209">
        <v>43855</v>
      </c>
      <c r="I93" s="209">
        <v>42521</v>
      </c>
      <c r="J93" s="210">
        <f>IFERROR(I93/H93-1,"-")</f>
        <v>-3.0418424352981366E-2</v>
      </c>
      <c r="K93" s="209">
        <f>I93-H93</f>
        <v>-1334</v>
      </c>
      <c r="L93" s="210">
        <f t="shared" ref="L93:L105" si="34">I93/I$9</f>
        <v>8.8882525023751269E-3</v>
      </c>
    </row>
    <row r="94" spans="1:12" x14ac:dyDescent="0.25">
      <c r="A94" s="1" t="s">
        <v>98</v>
      </c>
      <c r="B94" s="190" t="s">
        <v>99</v>
      </c>
      <c r="C94" s="191">
        <v>26994</v>
      </c>
      <c r="D94" s="191">
        <v>11388</v>
      </c>
      <c r="E94" s="191">
        <v>14208</v>
      </c>
      <c r="F94" s="191">
        <v>25280</v>
      </c>
      <c r="G94" s="191">
        <v>30693</v>
      </c>
      <c r="H94" s="191">
        <v>26797</v>
      </c>
      <c r="I94" s="191">
        <v>26091</v>
      </c>
      <c r="J94" s="211">
        <f>IFERROR(I94/H94-1,"-")</f>
        <v>-2.6346232787252344E-2</v>
      </c>
      <c r="K94" s="190">
        <f t="shared" ref="K94:K104" si="35">I94-H94</f>
        <v>-706</v>
      </c>
      <c r="L94" s="192">
        <f t="shared" si="34"/>
        <v>5.4538556487257932E-3</v>
      </c>
    </row>
    <row r="95" spans="1:12" x14ac:dyDescent="0.25">
      <c r="A95" s="193" t="s">
        <v>105</v>
      </c>
      <c r="B95" s="194" t="s">
        <v>105</v>
      </c>
      <c r="C95" s="195">
        <v>13150</v>
      </c>
      <c r="D95" s="195">
        <v>6091</v>
      </c>
      <c r="E95" s="195">
        <v>7076</v>
      </c>
      <c r="F95" s="195">
        <v>11813</v>
      </c>
      <c r="G95" s="195">
        <v>9708</v>
      </c>
      <c r="H95" s="195">
        <v>8305</v>
      </c>
      <c r="I95" s="195">
        <v>9182</v>
      </c>
      <c r="J95" s="212">
        <f>IFERROR(I95/H95-1,"-")</f>
        <v>0.10559903672486448</v>
      </c>
      <c r="K95" s="194">
        <f t="shared" si="35"/>
        <v>877</v>
      </c>
      <c r="L95" s="196">
        <f t="shared" si="34"/>
        <v>1.9193324351922207E-3</v>
      </c>
    </row>
    <row r="96" spans="1:12" x14ac:dyDescent="0.25">
      <c r="A96" s="193" t="s">
        <v>102</v>
      </c>
      <c r="B96" s="194" t="s">
        <v>102</v>
      </c>
      <c r="C96" s="195">
        <v>13844</v>
      </c>
      <c r="D96" s="195">
        <v>5297</v>
      </c>
      <c r="E96" s="195">
        <v>7132</v>
      </c>
      <c r="F96" s="195">
        <v>13467</v>
      </c>
      <c r="G96" s="195">
        <v>20985</v>
      </c>
      <c r="H96" s="195">
        <v>18492</v>
      </c>
      <c r="I96" s="195">
        <v>16909</v>
      </c>
      <c r="J96" s="212">
        <f>IFERROR(I96/H96-1,"-")</f>
        <v>-8.5604585766818064E-2</v>
      </c>
      <c r="K96" s="194">
        <f t="shared" si="35"/>
        <v>-1583</v>
      </c>
      <c r="L96" s="196">
        <f t="shared" si="34"/>
        <v>3.5345232135335723E-3</v>
      </c>
    </row>
    <row r="97" spans="1:12" x14ac:dyDescent="0.25">
      <c r="A97" s="1"/>
      <c r="B97" s="190" t="s">
        <v>109</v>
      </c>
      <c r="C97" s="191">
        <v>14342</v>
      </c>
      <c r="D97" s="191">
        <v>6852</v>
      </c>
      <c r="E97" s="191">
        <v>7643</v>
      </c>
      <c r="F97" s="191">
        <v>13863</v>
      </c>
      <c r="G97" s="191">
        <v>15647</v>
      </c>
      <c r="H97" s="191">
        <v>17058</v>
      </c>
      <c r="I97" s="191">
        <v>16430</v>
      </c>
      <c r="J97" s="211">
        <f>IFERROR(I97/H97-1,"-")</f>
        <v>-3.6815570406847242E-2</v>
      </c>
      <c r="K97" s="190">
        <f t="shared" si="35"/>
        <v>-628</v>
      </c>
      <c r="L97" s="192">
        <f t="shared" si="34"/>
        <v>3.4343968536493341E-3</v>
      </c>
    </row>
    <row r="98" spans="1:12" s="74" customFormat="1" x14ac:dyDescent="0.25">
      <c r="B98" s="194" t="s">
        <v>112</v>
      </c>
      <c r="C98" s="195">
        <v>1905</v>
      </c>
      <c r="D98" s="195">
        <v>1144</v>
      </c>
      <c r="E98" s="195">
        <v>373</v>
      </c>
      <c r="F98" s="195">
        <v>1860</v>
      </c>
      <c r="G98" s="195">
        <v>2264</v>
      </c>
      <c r="H98" s="195">
        <v>2464</v>
      </c>
      <c r="I98" s="195">
        <v>2029</v>
      </c>
      <c r="J98" s="212">
        <f t="shared" ref="J98:J105" si="36">IFERROR(I98/H98-1,"-")</f>
        <v>-0.17654220779220775</v>
      </c>
      <c r="K98" s="194">
        <f t="shared" si="35"/>
        <v>-435</v>
      </c>
      <c r="L98" s="196">
        <f t="shared" si="34"/>
        <v>4.2412606305870353E-4</v>
      </c>
    </row>
    <row r="99" spans="1:12" s="74" customFormat="1" x14ac:dyDescent="0.25">
      <c r="B99" s="194" t="s">
        <v>115</v>
      </c>
      <c r="C99" s="195">
        <v>3059</v>
      </c>
      <c r="D99" s="195">
        <v>1439</v>
      </c>
      <c r="E99" s="195">
        <v>1394</v>
      </c>
      <c r="F99" s="195">
        <v>2833</v>
      </c>
      <c r="G99" s="195">
        <v>3049</v>
      </c>
      <c r="H99" s="195">
        <v>3490</v>
      </c>
      <c r="I99" s="195">
        <v>3152</v>
      </c>
      <c r="J99" s="212">
        <f t="shared" si="36"/>
        <v>-9.684813753581667E-2</v>
      </c>
      <c r="K99" s="194">
        <f t="shared" si="35"/>
        <v>-338</v>
      </c>
      <c r="L99" s="196">
        <f t="shared" si="34"/>
        <v>6.5886907381026787E-4</v>
      </c>
    </row>
    <row r="100" spans="1:12" x14ac:dyDescent="0.25">
      <c r="A100" s="1"/>
      <c r="B100" s="194" t="s">
        <v>118</v>
      </c>
      <c r="C100" s="195">
        <v>2951</v>
      </c>
      <c r="D100" s="195">
        <v>1565</v>
      </c>
      <c r="E100" s="195">
        <v>2773</v>
      </c>
      <c r="F100" s="195">
        <v>2677</v>
      </c>
      <c r="G100" s="195">
        <v>2921</v>
      </c>
      <c r="H100" s="195">
        <v>2887</v>
      </c>
      <c r="I100" s="195">
        <v>2845</v>
      </c>
      <c r="J100" s="212">
        <f t="shared" si="36"/>
        <v>-1.4547973675095305E-2</v>
      </c>
      <c r="K100" s="194">
        <f t="shared" si="35"/>
        <v>-42</v>
      </c>
      <c r="L100" s="196">
        <f t="shared" si="34"/>
        <v>5.9469622937506725E-4</v>
      </c>
    </row>
    <row r="101" spans="1:12" x14ac:dyDescent="0.25">
      <c r="A101" s="1"/>
      <c r="B101" s="194" t="s">
        <v>125</v>
      </c>
      <c r="C101" s="195">
        <v>491</v>
      </c>
      <c r="D101" s="195">
        <v>297</v>
      </c>
      <c r="E101" s="195">
        <v>178</v>
      </c>
      <c r="F101" s="195">
        <v>970</v>
      </c>
      <c r="G101" s="195">
        <v>724</v>
      </c>
      <c r="H101" s="195">
        <v>784</v>
      </c>
      <c r="I101" s="195">
        <v>700</v>
      </c>
      <c r="J101" s="212">
        <f t="shared" si="36"/>
        <v>-0.1071428571428571</v>
      </c>
      <c r="K101" s="194">
        <f t="shared" si="35"/>
        <v>-84</v>
      </c>
      <c r="L101" s="196">
        <f t="shared" si="34"/>
        <v>1.463224465949199E-4</v>
      </c>
    </row>
    <row r="102" spans="1:12" x14ac:dyDescent="0.25">
      <c r="A102" s="1"/>
      <c r="B102" s="194" t="s">
        <v>121</v>
      </c>
      <c r="C102" s="195">
        <v>392</v>
      </c>
      <c r="D102" s="195">
        <v>228</v>
      </c>
      <c r="E102" s="195">
        <v>285</v>
      </c>
      <c r="F102" s="195">
        <v>560</v>
      </c>
      <c r="G102" s="195">
        <v>451</v>
      </c>
      <c r="H102" s="195">
        <v>685</v>
      </c>
      <c r="I102" s="195">
        <v>659</v>
      </c>
      <c r="J102" s="212">
        <f t="shared" si="36"/>
        <v>-3.7956204379562042E-2</v>
      </c>
      <c r="K102" s="194">
        <f t="shared" si="35"/>
        <v>-26</v>
      </c>
      <c r="L102" s="196">
        <f t="shared" si="34"/>
        <v>1.3775213186578887E-4</v>
      </c>
    </row>
    <row r="103" spans="1:12" x14ac:dyDescent="0.25">
      <c r="A103" s="1"/>
      <c r="B103" s="194" t="s">
        <v>130</v>
      </c>
      <c r="C103" s="195">
        <v>126</v>
      </c>
      <c r="D103" s="195">
        <v>127</v>
      </c>
      <c r="E103" s="195">
        <v>20</v>
      </c>
      <c r="F103" s="195">
        <v>226</v>
      </c>
      <c r="G103" s="195">
        <v>109</v>
      </c>
      <c r="H103" s="195">
        <v>192</v>
      </c>
      <c r="I103" s="195">
        <v>159</v>
      </c>
      <c r="J103" s="212">
        <f t="shared" si="36"/>
        <v>-0.171875</v>
      </c>
      <c r="K103" s="194">
        <f t="shared" si="35"/>
        <v>-33</v>
      </c>
      <c r="L103" s="196">
        <f t="shared" si="34"/>
        <v>3.3236098583703231E-5</v>
      </c>
    </row>
    <row r="104" spans="1:12" x14ac:dyDescent="0.25">
      <c r="A104" s="193" t="s">
        <v>146</v>
      </c>
      <c r="B104" s="194" t="s">
        <v>133</v>
      </c>
      <c r="C104" s="195">
        <v>153</v>
      </c>
      <c r="D104" s="195">
        <v>75</v>
      </c>
      <c r="E104" s="195">
        <v>65</v>
      </c>
      <c r="F104" s="195">
        <v>116</v>
      </c>
      <c r="G104" s="195">
        <v>203</v>
      </c>
      <c r="H104" s="195">
        <v>323</v>
      </c>
      <c r="I104" s="195">
        <v>168</v>
      </c>
      <c r="J104" s="212">
        <f t="shared" si="36"/>
        <v>-0.47987616099071206</v>
      </c>
      <c r="K104" s="194">
        <f t="shared" si="35"/>
        <v>-155</v>
      </c>
      <c r="L104" s="196">
        <f t="shared" si="34"/>
        <v>3.5117387182780773E-5</v>
      </c>
    </row>
    <row r="105" spans="1:12" x14ac:dyDescent="0.25">
      <c r="A105" s="198" t="s">
        <v>147</v>
      </c>
      <c r="B105" s="199" t="s">
        <v>147</v>
      </c>
      <c r="C105" s="200">
        <f t="shared" ref="C105" si="37">C97-SUM(C98:C104)</f>
        <v>5265</v>
      </c>
      <c r="D105" s="200">
        <f t="shared" ref="D105:I105" si="38">D97-SUM(D98:D104)</f>
        <v>1977</v>
      </c>
      <c r="E105" s="200">
        <f t="shared" si="38"/>
        <v>2555</v>
      </c>
      <c r="F105" s="200">
        <f t="shared" si="38"/>
        <v>4621</v>
      </c>
      <c r="G105" s="200">
        <f t="shared" si="38"/>
        <v>5926</v>
      </c>
      <c r="H105" s="200">
        <f t="shared" si="38"/>
        <v>6233</v>
      </c>
      <c r="I105" s="200">
        <f t="shared" si="38"/>
        <v>6718</v>
      </c>
      <c r="J105" s="213">
        <f t="shared" si="36"/>
        <v>7.7811647681694129E-2</v>
      </c>
      <c r="K105" s="199">
        <f>I105-H105</f>
        <v>485</v>
      </c>
      <c r="L105" s="201">
        <f t="shared" si="34"/>
        <v>1.4042774231781026E-3</v>
      </c>
    </row>
    <row r="106" spans="1:12" x14ac:dyDescent="0.25">
      <c r="A106" s="1"/>
      <c r="B106" s="186" t="s">
        <v>52</v>
      </c>
      <c r="C106" s="184"/>
      <c r="D106" s="184"/>
      <c r="E106" s="184"/>
      <c r="F106" s="184"/>
      <c r="G106" s="184"/>
      <c r="H106" s="184"/>
      <c r="I106" s="184"/>
      <c r="J106" s="185"/>
      <c r="K106" s="185"/>
      <c r="L106" s="184"/>
    </row>
    <row r="107" spans="1:12" x14ac:dyDescent="0.25">
      <c r="A107" s="1"/>
      <c r="B107" s="187" t="s">
        <v>70</v>
      </c>
      <c r="C107" s="209">
        <v>129126</v>
      </c>
      <c r="D107" s="209">
        <v>69618</v>
      </c>
      <c r="E107" s="209">
        <v>81129</v>
      </c>
      <c r="F107" s="209">
        <v>171217</v>
      </c>
      <c r="G107" s="209">
        <v>213329</v>
      </c>
      <c r="H107" s="209">
        <v>211792</v>
      </c>
      <c r="I107" s="209">
        <v>220769</v>
      </c>
      <c r="J107" s="210">
        <f>IFERROR(I107/H107-1,"-")</f>
        <v>4.2385925814006242E-2</v>
      </c>
      <c r="K107" s="209">
        <f>I107-H107</f>
        <v>8977</v>
      </c>
      <c r="L107" s="210">
        <f t="shared" ref="L107:L119" si="39">I107/I$9</f>
        <v>4.6147800303305529E-2</v>
      </c>
    </row>
    <row r="108" spans="1:12" x14ac:dyDescent="0.25">
      <c r="A108" s="1" t="s">
        <v>98</v>
      </c>
      <c r="B108" s="190" t="s">
        <v>99</v>
      </c>
      <c r="C108" s="191">
        <v>26451</v>
      </c>
      <c r="D108" s="191">
        <v>27028</v>
      </c>
      <c r="E108" s="191">
        <v>41362</v>
      </c>
      <c r="F108" s="191">
        <v>41286</v>
      </c>
      <c r="G108" s="191">
        <v>47351</v>
      </c>
      <c r="H108" s="191">
        <v>44919</v>
      </c>
      <c r="I108" s="191">
        <v>47774</v>
      </c>
      <c r="J108" s="211">
        <f>IFERROR(I108/H108-1,"-")</f>
        <v>6.3558850375119658E-2</v>
      </c>
      <c r="K108" s="190">
        <f t="shared" ref="K108:K118" si="40">I108-H108</f>
        <v>2855</v>
      </c>
      <c r="L108" s="192">
        <f t="shared" si="39"/>
        <v>9.9862979480367185E-3</v>
      </c>
    </row>
    <row r="109" spans="1:12" x14ac:dyDescent="0.25">
      <c r="A109" s="193" t="s">
        <v>105</v>
      </c>
      <c r="B109" s="194" t="s">
        <v>105</v>
      </c>
      <c r="C109" s="195">
        <v>10047</v>
      </c>
      <c r="D109" s="195">
        <v>2272</v>
      </c>
      <c r="E109" s="195">
        <v>24182</v>
      </c>
      <c r="F109" s="195">
        <v>14625</v>
      </c>
      <c r="G109" s="195">
        <v>17627</v>
      </c>
      <c r="H109" s="195">
        <v>14538</v>
      </c>
      <c r="I109" s="195">
        <v>17618</v>
      </c>
      <c r="J109" s="212">
        <f>IFERROR(I109/H109-1,"-")</f>
        <v>0.21185857752097959</v>
      </c>
      <c r="K109" s="194">
        <f t="shared" si="40"/>
        <v>3080</v>
      </c>
      <c r="L109" s="196">
        <f t="shared" si="39"/>
        <v>3.6827269487275695E-3</v>
      </c>
    </row>
    <row r="110" spans="1:12" x14ac:dyDescent="0.25">
      <c r="A110" s="193" t="s">
        <v>102</v>
      </c>
      <c r="B110" s="194" t="s">
        <v>102</v>
      </c>
      <c r="C110" s="195">
        <v>16404</v>
      </c>
      <c r="D110" s="195">
        <v>24756</v>
      </c>
      <c r="E110" s="195">
        <v>17180</v>
      </c>
      <c r="F110" s="195">
        <v>26661</v>
      </c>
      <c r="G110" s="195">
        <v>29724</v>
      </c>
      <c r="H110" s="195">
        <v>30381</v>
      </c>
      <c r="I110" s="195">
        <v>30156</v>
      </c>
      <c r="J110" s="212">
        <f>IFERROR(I110/H110-1,"-")</f>
        <v>-7.4059445047891526E-3</v>
      </c>
      <c r="K110" s="194">
        <f t="shared" si="40"/>
        <v>-225</v>
      </c>
      <c r="L110" s="196">
        <f t="shared" si="39"/>
        <v>6.303570999309149E-3</v>
      </c>
    </row>
    <row r="111" spans="1:12" x14ac:dyDescent="0.25">
      <c r="A111" s="1"/>
      <c r="B111" s="190" t="s">
        <v>109</v>
      </c>
      <c r="C111" s="191">
        <v>102675</v>
      </c>
      <c r="D111" s="191">
        <v>42590</v>
      </c>
      <c r="E111" s="191">
        <v>39767</v>
      </c>
      <c r="F111" s="191">
        <v>129931</v>
      </c>
      <c r="G111" s="191">
        <v>165978</v>
      </c>
      <c r="H111" s="191">
        <v>166873</v>
      </c>
      <c r="I111" s="191">
        <v>172995</v>
      </c>
      <c r="J111" s="211">
        <f>IFERROR(I111/H111-1,"-")</f>
        <v>3.6686582011469904E-2</v>
      </c>
      <c r="K111" s="190">
        <f t="shared" si="40"/>
        <v>6122</v>
      </c>
      <c r="L111" s="192">
        <f t="shared" si="39"/>
        <v>3.6161502355268813E-2</v>
      </c>
    </row>
    <row r="112" spans="1:12" s="74" customFormat="1" x14ac:dyDescent="0.25">
      <c r="B112" s="194" t="s">
        <v>112</v>
      </c>
      <c r="C112" s="195">
        <v>56409</v>
      </c>
      <c r="D112" s="195">
        <v>21638</v>
      </c>
      <c r="E112" s="195">
        <v>12718</v>
      </c>
      <c r="F112" s="195">
        <v>78552</v>
      </c>
      <c r="G112" s="195">
        <v>107726</v>
      </c>
      <c r="H112" s="195">
        <v>104034</v>
      </c>
      <c r="I112" s="195">
        <v>104813</v>
      </c>
      <c r="J112" s="212">
        <f t="shared" ref="J112:J119" si="41">IFERROR(I112/H112-1,"-")</f>
        <v>7.4879366360998123E-3</v>
      </c>
      <c r="K112" s="194">
        <f t="shared" si="40"/>
        <v>779</v>
      </c>
      <c r="L112" s="196">
        <f t="shared" si="39"/>
        <v>2.1909277992790483E-2</v>
      </c>
    </row>
    <row r="113" spans="1:12" s="74" customFormat="1" x14ac:dyDescent="0.25">
      <c r="B113" s="194" t="s">
        <v>115</v>
      </c>
      <c r="C113" s="195">
        <v>8841</v>
      </c>
      <c r="D113" s="195">
        <v>2923</v>
      </c>
      <c r="E113" s="195">
        <v>6037</v>
      </c>
      <c r="F113" s="195">
        <v>5450</v>
      </c>
      <c r="G113" s="195">
        <v>7337</v>
      </c>
      <c r="H113" s="195">
        <v>7025</v>
      </c>
      <c r="I113" s="195">
        <v>8138</v>
      </c>
      <c r="J113" s="212">
        <f t="shared" si="41"/>
        <v>0.15843416370106755</v>
      </c>
      <c r="K113" s="194">
        <f t="shared" si="40"/>
        <v>1113</v>
      </c>
      <c r="L113" s="196">
        <f t="shared" si="39"/>
        <v>1.7011029576992258E-3</v>
      </c>
    </row>
    <row r="114" spans="1:12" x14ac:dyDescent="0.25">
      <c r="A114" s="1"/>
      <c r="B114" s="194" t="s">
        <v>118</v>
      </c>
      <c r="C114" s="195">
        <v>11990</v>
      </c>
      <c r="D114" s="195">
        <v>2219</v>
      </c>
      <c r="E114" s="195">
        <v>6138</v>
      </c>
      <c r="F114" s="195">
        <v>8179</v>
      </c>
      <c r="G114" s="195">
        <v>12282</v>
      </c>
      <c r="H114" s="195">
        <v>11875</v>
      </c>
      <c r="I114" s="195">
        <v>13849</v>
      </c>
      <c r="J114" s="212">
        <f t="shared" si="41"/>
        <v>0.16623157894736851</v>
      </c>
      <c r="K114" s="194">
        <f t="shared" si="40"/>
        <v>1974</v>
      </c>
      <c r="L114" s="196">
        <f t="shared" si="39"/>
        <v>2.8948850898472081E-3</v>
      </c>
    </row>
    <row r="115" spans="1:12" x14ac:dyDescent="0.25">
      <c r="A115" s="1"/>
      <c r="B115" s="194" t="s">
        <v>125</v>
      </c>
      <c r="C115" s="195">
        <v>2358</v>
      </c>
      <c r="D115" s="195">
        <v>1179</v>
      </c>
      <c r="E115" s="195">
        <v>2486</v>
      </c>
      <c r="F115" s="195">
        <v>5406</v>
      </c>
      <c r="G115" s="195">
        <v>5337</v>
      </c>
      <c r="H115" s="195">
        <v>5277</v>
      </c>
      <c r="I115" s="195">
        <v>5910</v>
      </c>
      <c r="J115" s="212">
        <f t="shared" si="41"/>
        <v>0.11995451961341663</v>
      </c>
      <c r="K115" s="194">
        <f t="shared" si="40"/>
        <v>633</v>
      </c>
      <c r="L115" s="196">
        <f t="shared" si="39"/>
        <v>1.2353795133942522E-3</v>
      </c>
    </row>
    <row r="116" spans="1:12" x14ac:dyDescent="0.25">
      <c r="A116" s="1"/>
      <c r="B116" s="194" t="s">
        <v>121</v>
      </c>
      <c r="C116" s="195">
        <v>3585</v>
      </c>
      <c r="D116" s="195">
        <v>2779</v>
      </c>
      <c r="E116" s="195">
        <v>3241</v>
      </c>
      <c r="F116" s="195">
        <v>4908</v>
      </c>
      <c r="G116" s="195">
        <v>4707</v>
      </c>
      <c r="H116" s="195">
        <v>4301</v>
      </c>
      <c r="I116" s="195">
        <v>4455</v>
      </c>
      <c r="J116" s="212">
        <f t="shared" si="41"/>
        <v>3.5805626598465423E-2</v>
      </c>
      <c r="K116" s="194">
        <f t="shared" si="40"/>
        <v>154</v>
      </c>
      <c r="L116" s="196">
        <f t="shared" si="39"/>
        <v>9.31237856543383E-4</v>
      </c>
    </row>
    <row r="117" spans="1:12" x14ac:dyDescent="0.25">
      <c r="A117" s="1"/>
      <c r="B117" s="194" t="s">
        <v>130</v>
      </c>
      <c r="C117" s="195">
        <v>634</v>
      </c>
      <c r="D117" s="195">
        <v>459</v>
      </c>
      <c r="E117" s="195">
        <v>69</v>
      </c>
      <c r="F117" s="195">
        <v>658</v>
      </c>
      <c r="G117" s="195">
        <v>1050</v>
      </c>
      <c r="H117" s="195">
        <v>1230</v>
      </c>
      <c r="I117" s="195">
        <v>1043</v>
      </c>
      <c r="J117" s="212">
        <f t="shared" si="41"/>
        <v>-0.1520325203252032</v>
      </c>
      <c r="K117" s="194">
        <f t="shared" si="40"/>
        <v>-187</v>
      </c>
      <c r="L117" s="196">
        <f t="shared" si="39"/>
        <v>2.1802044542643063E-4</v>
      </c>
    </row>
    <row r="118" spans="1:12" x14ac:dyDescent="0.25">
      <c r="A118" s="193" t="s">
        <v>146</v>
      </c>
      <c r="B118" s="194" t="s">
        <v>133</v>
      </c>
      <c r="C118" s="195">
        <v>1150</v>
      </c>
      <c r="D118" s="195">
        <v>1168</v>
      </c>
      <c r="E118" s="195">
        <v>42</v>
      </c>
      <c r="F118" s="195">
        <v>866</v>
      </c>
      <c r="G118" s="195">
        <v>639</v>
      </c>
      <c r="H118" s="195">
        <v>1448</v>
      </c>
      <c r="I118" s="195">
        <v>899</v>
      </c>
      <c r="J118" s="212">
        <f t="shared" si="41"/>
        <v>-0.3791436464088398</v>
      </c>
      <c r="K118" s="194">
        <f t="shared" si="40"/>
        <v>-549</v>
      </c>
      <c r="L118" s="196">
        <f t="shared" si="39"/>
        <v>1.8791982784118998E-4</v>
      </c>
    </row>
    <row r="119" spans="1:12" x14ac:dyDescent="0.25">
      <c r="A119" s="198" t="s">
        <v>147</v>
      </c>
      <c r="B119" s="199" t="s">
        <v>147</v>
      </c>
      <c r="C119" s="200">
        <f t="shared" ref="C119" si="42">C111-SUM(C112:C118)</f>
        <v>17708</v>
      </c>
      <c r="D119" s="200">
        <f t="shared" ref="D119:I119" si="43">D111-SUM(D112:D118)</f>
        <v>10225</v>
      </c>
      <c r="E119" s="200">
        <f t="shared" si="43"/>
        <v>9036</v>
      </c>
      <c r="F119" s="200">
        <f t="shared" si="43"/>
        <v>25912</v>
      </c>
      <c r="G119" s="200">
        <f t="shared" si="43"/>
        <v>26900</v>
      </c>
      <c r="H119" s="200">
        <f t="shared" si="43"/>
        <v>31683</v>
      </c>
      <c r="I119" s="200">
        <f t="shared" si="43"/>
        <v>33888</v>
      </c>
      <c r="J119" s="213">
        <f t="shared" si="41"/>
        <v>6.9595682227061806E-2</v>
      </c>
      <c r="K119" s="199">
        <f>I119-H119</f>
        <v>2205</v>
      </c>
      <c r="L119" s="201">
        <f t="shared" si="39"/>
        <v>7.0836786717266365E-3</v>
      </c>
    </row>
    <row r="120" spans="1:12" x14ac:dyDescent="0.25">
      <c r="A120" s="1"/>
      <c r="B120" s="186" t="s">
        <v>53</v>
      </c>
      <c r="C120" s="184"/>
      <c r="D120" s="184"/>
      <c r="E120" s="184"/>
      <c r="F120" s="184"/>
      <c r="G120" s="184"/>
      <c r="H120" s="184"/>
      <c r="I120" s="184"/>
      <c r="J120" s="185"/>
      <c r="K120" s="185"/>
      <c r="L120" s="184"/>
    </row>
    <row r="121" spans="1:12" x14ac:dyDescent="0.25">
      <c r="A121" s="1"/>
      <c r="B121" s="187" t="s">
        <v>70</v>
      </c>
      <c r="C121" s="209">
        <v>165875</v>
      </c>
      <c r="D121" s="209">
        <v>70506</v>
      </c>
      <c r="E121" s="209">
        <v>106775</v>
      </c>
      <c r="F121" s="209">
        <v>165117</v>
      </c>
      <c r="G121" s="209">
        <v>182016</v>
      </c>
      <c r="H121" s="209">
        <v>189705</v>
      </c>
      <c r="I121" s="209">
        <v>211709</v>
      </c>
      <c r="J121" s="210">
        <f>IFERROR(I121/H121-1,"-")</f>
        <v>0.11599061701062174</v>
      </c>
      <c r="K121" s="209">
        <f>I121-H121</f>
        <v>22004</v>
      </c>
      <c r="L121" s="210">
        <f t="shared" ref="L121:L133" si="44">I121/I$9</f>
        <v>4.4253969780234138E-2</v>
      </c>
    </row>
    <row r="122" spans="1:12" x14ac:dyDescent="0.25">
      <c r="A122" s="1" t="s">
        <v>98</v>
      </c>
      <c r="B122" s="190" t="s">
        <v>99</v>
      </c>
      <c r="C122" s="191">
        <v>89920</v>
      </c>
      <c r="D122" s="191">
        <v>37728</v>
      </c>
      <c r="E122" s="191">
        <v>70625</v>
      </c>
      <c r="F122" s="191">
        <v>100095</v>
      </c>
      <c r="G122" s="191">
        <v>111901</v>
      </c>
      <c r="H122" s="191">
        <v>119009</v>
      </c>
      <c r="I122" s="191">
        <v>136286</v>
      </c>
      <c r="J122" s="211">
        <f>IFERROR(I122/H122-1,"-")</f>
        <v>0.14517389441134698</v>
      </c>
      <c r="K122" s="190">
        <f t="shared" ref="K122:K132" si="45">I122-H122</f>
        <v>17277</v>
      </c>
      <c r="L122" s="192">
        <f t="shared" si="44"/>
        <v>2.8488144223764646E-2</v>
      </c>
    </row>
    <row r="123" spans="1:12" x14ac:dyDescent="0.25">
      <c r="A123" s="193" t="s">
        <v>105</v>
      </c>
      <c r="B123" s="194" t="s">
        <v>105</v>
      </c>
      <c r="C123" s="195">
        <v>45175</v>
      </c>
      <c r="D123" s="195">
        <v>17203</v>
      </c>
      <c r="E123" s="195">
        <v>35685</v>
      </c>
      <c r="F123" s="195">
        <v>51998</v>
      </c>
      <c r="G123" s="195">
        <v>50226</v>
      </c>
      <c r="H123" s="195">
        <v>58787</v>
      </c>
      <c r="I123" s="195">
        <v>71884</v>
      </c>
      <c r="J123" s="212">
        <f>IFERROR(I123/H123-1,"-")</f>
        <v>0.22278735094493674</v>
      </c>
      <c r="K123" s="194">
        <f t="shared" si="45"/>
        <v>13097</v>
      </c>
      <c r="L123" s="196">
        <f t="shared" si="44"/>
        <v>1.5026061072898889E-2</v>
      </c>
    </row>
    <row r="124" spans="1:12" x14ac:dyDescent="0.25">
      <c r="A124" s="193" t="s">
        <v>102</v>
      </c>
      <c r="B124" s="194" t="s">
        <v>102</v>
      </c>
      <c r="C124" s="195">
        <v>44745</v>
      </c>
      <c r="D124" s="195">
        <v>20525</v>
      </c>
      <c r="E124" s="195">
        <v>34940</v>
      </c>
      <c r="F124" s="195">
        <v>48097</v>
      </c>
      <c r="G124" s="195">
        <v>61675</v>
      </c>
      <c r="H124" s="195">
        <v>60222</v>
      </c>
      <c r="I124" s="195">
        <v>64402</v>
      </c>
      <c r="J124" s="212">
        <f>IFERROR(I124/H124-1,"-")</f>
        <v>6.9409850220849556E-2</v>
      </c>
      <c r="K124" s="194">
        <f t="shared" si="45"/>
        <v>4180</v>
      </c>
      <c r="L124" s="196">
        <f t="shared" si="44"/>
        <v>1.3462083150865759E-2</v>
      </c>
    </row>
    <row r="125" spans="1:12" x14ac:dyDescent="0.25">
      <c r="A125" s="1"/>
      <c r="B125" s="190" t="s">
        <v>109</v>
      </c>
      <c r="C125" s="191">
        <v>75955</v>
      </c>
      <c r="D125" s="191">
        <v>32778</v>
      </c>
      <c r="E125" s="191">
        <v>36150</v>
      </c>
      <c r="F125" s="191">
        <v>65022</v>
      </c>
      <c r="G125" s="191">
        <v>70115</v>
      </c>
      <c r="H125" s="191">
        <v>70696</v>
      </c>
      <c r="I125" s="191">
        <v>75423</v>
      </c>
      <c r="J125" s="211">
        <f>IFERROR(I125/H125-1,"-")</f>
        <v>6.6863754667873643E-2</v>
      </c>
      <c r="K125" s="190">
        <f t="shared" si="45"/>
        <v>4727</v>
      </c>
      <c r="L125" s="192">
        <f t="shared" si="44"/>
        <v>1.5765825556469489E-2</v>
      </c>
    </row>
    <row r="126" spans="1:12" s="74" customFormat="1" x14ac:dyDescent="0.25">
      <c r="B126" s="194" t="s">
        <v>112</v>
      </c>
      <c r="C126" s="195">
        <v>8241</v>
      </c>
      <c r="D126" s="195">
        <v>3292</v>
      </c>
      <c r="E126" s="195">
        <v>1409</v>
      </c>
      <c r="F126" s="195">
        <v>7290</v>
      </c>
      <c r="G126" s="195">
        <v>9274</v>
      </c>
      <c r="H126" s="195">
        <v>8495</v>
      </c>
      <c r="I126" s="195">
        <v>7872</v>
      </c>
      <c r="J126" s="212">
        <f t="shared" ref="J126:J133" si="46">IFERROR(I126/H126-1,"-")</f>
        <v>-7.333725721012363E-2</v>
      </c>
      <c r="K126" s="194">
        <f t="shared" si="45"/>
        <v>-623</v>
      </c>
      <c r="L126" s="196">
        <f t="shared" si="44"/>
        <v>1.6455004279931564E-3</v>
      </c>
    </row>
    <row r="127" spans="1:12" s="74" customFormat="1" x14ac:dyDescent="0.25">
      <c r="B127" s="194" t="s">
        <v>115</v>
      </c>
      <c r="C127" s="195">
        <v>7189</v>
      </c>
      <c r="D127" s="195">
        <v>3494</v>
      </c>
      <c r="E127" s="195">
        <v>3640</v>
      </c>
      <c r="F127" s="195">
        <v>6988</v>
      </c>
      <c r="G127" s="195">
        <v>9957</v>
      </c>
      <c r="H127" s="195">
        <v>9595</v>
      </c>
      <c r="I127" s="195">
        <v>10346</v>
      </c>
      <c r="J127" s="212">
        <f t="shared" si="46"/>
        <v>7.8269932256383568E-2</v>
      </c>
      <c r="K127" s="194">
        <f t="shared" si="45"/>
        <v>751</v>
      </c>
      <c r="L127" s="196">
        <f t="shared" si="44"/>
        <v>2.1626457606729161E-3</v>
      </c>
    </row>
    <row r="128" spans="1:12" x14ac:dyDescent="0.25">
      <c r="A128" s="1"/>
      <c r="B128" s="194" t="s">
        <v>118</v>
      </c>
      <c r="C128" s="195">
        <v>5337</v>
      </c>
      <c r="D128" s="195">
        <v>2351</v>
      </c>
      <c r="E128" s="195">
        <v>5108</v>
      </c>
      <c r="F128" s="195">
        <v>6283</v>
      </c>
      <c r="G128" s="195">
        <v>6766</v>
      </c>
      <c r="H128" s="195">
        <v>6665</v>
      </c>
      <c r="I128" s="195">
        <v>7216</v>
      </c>
      <c r="J128" s="212">
        <f t="shared" si="46"/>
        <v>8.2670667666916664E-2</v>
      </c>
      <c r="K128" s="194">
        <f t="shared" si="45"/>
        <v>551</v>
      </c>
      <c r="L128" s="196">
        <f t="shared" si="44"/>
        <v>1.5083753923270599E-3</v>
      </c>
    </row>
    <row r="129" spans="1:12" x14ac:dyDescent="0.25">
      <c r="A129" s="1"/>
      <c r="B129" s="194" t="s">
        <v>125</v>
      </c>
      <c r="C129" s="195">
        <v>1294</v>
      </c>
      <c r="D129" s="195">
        <v>628</v>
      </c>
      <c r="E129" s="195">
        <v>691</v>
      </c>
      <c r="F129" s="195">
        <v>1944</v>
      </c>
      <c r="G129" s="195">
        <v>2010</v>
      </c>
      <c r="H129" s="195">
        <v>1814</v>
      </c>
      <c r="I129" s="195">
        <v>2124</v>
      </c>
      <c r="J129" s="212">
        <f t="shared" si="46"/>
        <v>0.1708930540242557</v>
      </c>
      <c r="K129" s="194">
        <f t="shared" si="45"/>
        <v>310</v>
      </c>
      <c r="L129" s="196">
        <f t="shared" si="44"/>
        <v>4.4398410938229979E-4</v>
      </c>
    </row>
    <row r="130" spans="1:12" x14ac:dyDescent="0.25">
      <c r="A130" s="1"/>
      <c r="B130" s="194" t="s">
        <v>121</v>
      </c>
      <c r="C130" s="195">
        <v>1092</v>
      </c>
      <c r="D130" s="195">
        <v>609</v>
      </c>
      <c r="E130" s="195">
        <v>616</v>
      </c>
      <c r="F130" s="195">
        <v>1358</v>
      </c>
      <c r="G130" s="195">
        <v>1386</v>
      </c>
      <c r="H130" s="195">
        <v>1471</v>
      </c>
      <c r="I130" s="195">
        <v>1812</v>
      </c>
      <c r="J130" s="212">
        <f t="shared" si="46"/>
        <v>0.23181509177430315</v>
      </c>
      <c r="K130" s="194">
        <f t="shared" si="45"/>
        <v>341</v>
      </c>
      <c r="L130" s="196">
        <f t="shared" si="44"/>
        <v>3.7876610461427834E-4</v>
      </c>
    </row>
    <row r="131" spans="1:12" x14ac:dyDescent="0.25">
      <c r="A131" s="1"/>
      <c r="B131" s="194" t="s">
        <v>130</v>
      </c>
      <c r="C131" s="195">
        <v>1206</v>
      </c>
      <c r="D131" s="195">
        <v>680</v>
      </c>
      <c r="E131" s="195">
        <v>106</v>
      </c>
      <c r="F131" s="195">
        <v>704</v>
      </c>
      <c r="G131" s="195">
        <v>915</v>
      </c>
      <c r="H131" s="195">
        <v>1028</v>
      </c>
      <c r="I131" s="195">
        <v>832</v>
      </c>
      <c r="J131" s="212">
        <f t="shared" si="46"/>
        <v>-0.19066147859922178</v>
      </c>
      <c r="K131" s="194">
        <f t="shared" si="45"/>
        <v>-196</v>
      </c>
      <c r="L131" s="196">
        <f t="shared" si="44"/>
        <v>1.739146793813905E-4</v>
      </c>
    </row>
    <row r="132" spans="1:12" x14ac:dyDescent="0.25">
      <c r="A132" s="193" t="s">
        <v>146</v>
      </c>
      <c r="B132" s="194" t="s">
        <v>133</v>
      </c>
      <c r="C132" s="195">
        <v>1757</v>
      </c>
      <c r="D132" s="195">
        <v>1063</v>
      </c>
      <c r="E132" s="195">
        <v>243</v>
      </c>
      <c r="F132" s="195">
        <v>1156</v>
      </c>
      <c r="G132" s="195">
        <v>1637</v>
      </c>
      <c r="H132" s="195">
        <v>1543</v>
      </c>
      <c r="I132" s="195">
        <v>1487</v>
      </c>
      <c r="J132" s="212">
        <f t="shared" si="46"/>
        <v>-3.6292935839274176E-2</v>
      </c>
      <c r="K132" s="194">
        <f t="shared" si="45"/>
        <v>-56</v>
      </c>
      <c r="L132" s="196">
        <f t="shared" si="44"/>
        <v>3.1083068298092269E-4</v>
      </c>
    </row>
    <row r="133" spans="1:12" x14ac:dyDescent="0.25">
      <c r="A133" s="198" t="s">
        <v>147</v>
      </c>
      <c r="B133" s="199" t="s">
        <v>147</v>
      </c>
      <c r="C133" s="200">
        <f t="shared" ref="C133" si="47">C125-SUM(C126:C132)</f>
        <v>49839</v>
      </c>
      <c r="D133" s="200">
        <f t="shared" ref="D133:I133" si="48">D125-SUM(D126:D132)</f>
        <v>20661</v>
      </c>
      <c r="E133" s="200">
        <f t="shared" si="48"/>
        <v>24337</v>
      </c>
      <c r="F133" s="200">
        <f t="shared" si="48"/>
        <v>39299</v>
      </c>
      <c r="G133" s="200">
        <f t="shared" si="48"/>
        <v>38170</v>
      </c>
      <c r="H133" s="200">
        <f t="shared" si="48"/>
        <v>40085</v>
      </c>
      <c r="I133" s="200">
        <f t="shared" si="48"/>
        <v>43734</v>
      </c>
      <c r="J133" s="213">
        <f t="shared" si="46"/>
        <v>9.1031557939378782E-2</v>
      </c>
      <c r="K133" s="199">
        <f>I133-H133</f>
        <v>3649</v>
      </c>
      <c r="L133" s="201">
        <f t="shared" si="44"/>
        <v>9.141808399117466E-3</v>
      </c>
    </row>
    <row r="134" spans="1:12" x14ac:dyDescent="0.25">
      <c r="A134" s="1"/>
      <c r="B134" s="186" t="s">
        <v>54</v>
      </c>
      <c r="C134" s="184"/>
      <c r="D134" s="184"/>
      <c r="E134" s="184"/>
      <c r="F134" s="184"/>
      <c r="G134" s="184"/>
      <c r="H134" s="184"/>
      <c r="I134" s="184"/>
      <c r="J134" s="185"/>
      <c r="K134" s="185"/>
      <c r="L134" s="184"/>
    </row>
    <row r="135" spans="1:12" x14ac:dyDescent="0.25">
      <c r="A135" s="1"/>
      <c r="B135" s="187" t="s">
        <v>70</v>
      </c>
      <c r="C135" s="209">
        <v>224428</v>
      </c>
      <c r="D135" s="209">
        <v>87336</v>
      </c>
      <c r="E135" s="209">
        <v>86363</v>
      </c>
      <c r="F135" s="209">
        <v>226073</v>
      </c>
      <c r="G135" s="209">
        <v>244622</v>
      </c>
      <c r="H135" s="209">
        <v>256066</v>
      </c>
      <c r="I135" s="209">
        <v>254821</v>
      </c>
      <c r="J135" s="210">
        <f>IFERROR(I135/H135-1,"-")</f>
        <v>-4.8620277584685567E-3</v>
      </c>
      <c r="K135" s="209">
        <f>I135-H135</f>
        <v>-1245</v>
      </c>
      <c r="L135" s="210">
        <f t="shared" ref="L135:L147" si="49">I135/I$9</f>
        <v>5.3265760233948689E-2</v>
      </c>
    </row>
    <row r="136" spans="1:12" x14ac:dyDescent="0.25">
      <c r="A136" s="1" t="s">
        <v>98</v>
      </c>
      <c r="B136" s="190" t="s">
        <v>99</v>
      </c>
      <c r="C136" s="191">
        <v>40957</v>
      </c>
      <c r="D136" s="191">
        <v>15858</v>
      </c>
      <c r="E136" s="191">
        <v>40067</v>
      </c>
      <c r="F136" s="191">
        <v>26334</v>
      </c>
      <c r="G136" s="191">
        <v>28935</v>
      </c>
      <c r="H136" s="191">
        <v>24980</v>
      </c>
      <c r="I136" s="191">
        <v>28687</v>
      </c>
      <c r="J136" s="211">
        <f>IFERROR(I136/H136-1,"-")</f>
        <v>0.14839871897518009</v>
      </c>
      <c r="K136" s="190">
        <f t="shared" ref="K136:K146" si="50">I136-H136</f>
        <v>3707</v>
      </c>
      <c r="L136" s="192">
        <f t="shared" si="49"/>
        <v>5.9965028935263813E-3</v>
      </c>
    </row>
    <row r="137" spans="1:12" x14ac:dyDescent="0.25">
      <c r="A137" s="193" t="s">
        <v>105</v>
      </c>
      <c r="B137" s="194" t="s">
        <v>105</v>
      </c>
      <c r="C137" s="195">
        <v>22725</v>
      </c>
      <c r="D137" s="195">
        <v>10814</v>
      </c>
      <c r="E137" s="195">
        <v>30109</v>
      </c>
      <c r="F137" s="195">
        <v>17960</v>
      </c>
      <c r="G137" s="195">
        <v>18744</v>
      </c>
      <c r="H137" s="195">
        <v>15731</v>
      </c>
      <c r="I137" s="195">
        <v>17003</v>
      </c>
      <c r="J137" s="212">
        <f>IFERROR(I137/H137-1,"-")</f>
        <v>8.0859449494628421E-2</v>
      </c>
      <c r="K137" s="194">
        <f t="shared" si="50"/>
        <v>1272</v>
      </c>
      <c r="L137" s="196">
        <f t="shared" si="49"/>
        <v>3.5541722277906041E-3</v>
      </c>
    </row>
    <row r="138" spans="1:12" x14ac:dyDescent="0.25">
      <c r="A138" s="193" t="s">
        <v>102</v>
      </c>
      <c r="B138" s="194" t="s">
        <v>102</v>
      </c>
      <c r="C138" s="195">
        <v>18232</v>
      </c>
      <c r="D138" s="195">
        <v>5044</v>
      </c>
      <c r="E138" s="195">
        <v>9958</v>
      </c>
      <c r="F138" s="195">
        <v>8374</v>
      </c>
      <c r="G138" s="195">
        <v>10191</v>
      </c>
      <c r="H138" s="195">
        <v>9249</v>
      </c>
      <c r="I138" s="195">
        <v>11684</v>
      </c>
      <c r="J138" s="212">
        <f>IFERROR(I138/H138-1,"-")</f>
        <v>0.26327170504919462</v>
      </c>
      <c r="K138" s="194">
        <f t="shared" si="50"/>
        <v>2435</v>
      </c>
      <c r="L138" s="196">
        <f t="shared" si="49"/>
        <v>2.4423306657357772E-3</v>
      </c>
    </row>
    <row r="139" spans="1:12" x14ac:dyDescent="0.25">
      <c r="A139" s="1"/>
      <c r="B139" s="190" t="s">
        <v>109</v>
      </c>
      <c r="C139" s="191">
        <v>183471</v>
      </c>
      <c r="D139" s="191">
        <v>71478</v>
      </c>
      <c r="E139" s="191">
        <v>46296</v>
      </c>
      <c r="F139" s="191">
        <v>199739</v>
      </c>
      <c r="G139" s="191">
        <v>215687</v>
      </c>
      <c r="H139" s="191">
        <v>231086</v>
      </c>
      <c r="I139" s="191">
        <v>226134</v>
      </c>
      <c r="J139" s="211">
        <f>IFERROR(I139/H139-1,"-")</f>
        <v>-2.1429251447513065E-2</v>
      </c>
      <c r="K139" s="190">
        <f t="shared" si="50"/>
        <v>-4952</v>
      </c>
      <c r="L139" s="192">
        <f t="shared" si="49"/>
        <v>4.726925734042231E-2</v>
      </c>
    </row>
    <row r="140" spans="1:12" s="74" customFormat="1" x14ac:dyDescent="0.25">
      <c r="B140" s="194" t="s">
        <v>112</v>
      </c>
      <c r="C140" s="195">
        <v>91081</v>
      </c>
      <c r="D140" s="195">
        <v>29452</v>
      </c>
      <c r="E140" s="195">
        <v>7723</v>
      </c>
      <c r="F140" s="195">
        <v>86847</v>
      </c>
      <c r="G140" s="195">
        <v>92504</v>
      </c>
      <c r="H140" s="195">
        <v>104620</v>
      </c>
      <c r="I140" s="195">
        <v>107039</v>
      </c>
      <c r="J140" s="212">
        <f t="shared" ref="J140:J147" si="51">IFERROR(I140/H140-1,"-")</f>
        <v>2.3121774039380538E-2</v>
      </c>
      <c r="K140" s="194">
        <f t="shared" si="50"/>
        <v>2419</v>
      </c>
      <c r="L140" s="196">
        <f t="shared" si="49"/>
        <v>2.2374583372962328E-2</v>
      </c>
    </row>
    <row r="141" spans="1:12" s="74" customFormat="1" x14ac:dyDescent="0.25">
      <c r="B141" s="194" t="s">
        <v>115</v>
      </c>
      <c r="C141" s="195">
        <v>12686</v>
      </c>
      <c r="D141" s="195">
        <v>5377</v>
      </c>
      <c r="E141" s="195">
        <v>4588</v>
      </c>
      <c r="F141" s="195">
        <v>13423</v>
      </c>
      <c r="G141" s="195">
        <v>18417</v>
      </c>
      <c r="H141" s="195">
        <v>19208</v>
      </c>
      <c r="I141" s="195">
        <v>18701</v>
      </c>
      <c r="J141" s="212">
        <f t="shared" si="51"/>
        <v>-2.639525197834236E-2</v>
      </c>
      <c r="K141" s="194">
        <f t="shared" si="50"/>
        <v>-507</v>
      </c>
      <c r="L141" s="196">
        <f t="shared" si="49"/>
        <v>3.9091086768165669E-3</v>
      </c>
    </row>
    <row r="142" spans="1:12" x14ac:dyDescent="0.25">
      <c r="A142" s="1"/>
      <c r="B142" s="194" t="s">
        <v>118</v>
      </c>
      <c r="C142" s="195">
        <v>17850</v>
      </c>
      <c r="D142" s="195">
        <v>5591</v>
      </c>
      <c r="E142" s="195">
        <v>9723</v>
      </c>
      <c r="F142" s="195">
        <v>23794</v>
      </c>
      <c r="G142" s="195">
        <v>22158</v>
      </c>
      <c r="H142" s="195">
        <v>22877</v>
      </c>
      <c r="I142" s="195">
        <v>20258</v>
      </c>
      <c r="J142" s="212">
        <f t="shared" si="51"/>
        <v>-0.11448179394151337</v>
      </c>
      <c r="K142" s="194">
        <f t="shared" si="50"/>
        <v>-2619</v>
      </c>
      <c r="L142" s="196">
        <f t="shared" si="49"/>
        <v>4.2345716044569813E-3</v>
      </c>
    </row>
    <row r="143" spans="1:12" x14ac:dyDescent="0.25">
      <c r="A143" s="1"/>
      <c r="B143" s="194" t="s">
        <v>125</v>
      </c>
      <c r="C143" s="195">
        <v>3928</v>
      </c>
      <c r="D143" s="195">
        <v>1151</v>
      </c>
      <c r="E143" s="195">
        <v>1335</v>
      </c>
      <c r="F143" s="195">
        <v>9497</v>
      </c>
      <c r="G143" s="195">
        <v>8741</v>
      </c>
      <c r="H143" s="195">
        <v>6113</v>
      </c>
      <c r="I143" s="195">
        <v>5501</v>
      </c>
      <c r="J143" s="212">
        <f t="shared" si="51"/>
        <v>-0.10011451006052674</v>
      </c>
      <c r="K143" s="194">
        <f t="shared" si="50"/>
        <v>-612</v>
      </c>
      <c r="L143" s="196">
        <f t="shared" si="49"/>
        <v>1.1498853981695063E-3</v>
      </c>
    </row>
    <row r="144" spans="1:12" x14ac:dyDescent="0.25">
      <c r="A144" s="1"/>
      <c r="B144" s="194" t="s">
        <v>121</v>
      </c>
      <c r="C144" s="195">
        <v>3987</v>
      </c>
      <c r="D144" s="195">
        <v>1867</v>
      </c>
      <c r="E144" s="195">
        <v>1975</v>
      </c>
      <c r="F144" s="195">
        <v>4118</v>
      </c>
      <c r="G144" s="195">
        <v>4790</v>
      </c>
      <c r="H144" s="195">
        <v>5320</v>
      </c>
      <c r="I144" s="195">
        <v>3981</v>
      </c>
      <c r="J144" s="212">
        <f t="shared" si="51"/>
        <v>-0.2516917293233083</v>
      </c>
      <c r="K144" s="194">
        <f t="shared" si="50"/>
        <v>-1339</v>
      </c>
      <c r="L144" s="196">
        <f t="shared" si="49"/>
        <v>8.3215665699196584E-4</v>
      </c>
    </row>
    <row r="145" spans="1:12" x14ac:dyDescent="0.25">
      <c r="A145" s="1"/>
      <c r="B145" s="194" t="s">
        <v>130</v>
      </c>
      <c r="C145" s="195">
        <v>1934</v>
      </c>
      <c r="D145" s="195">
        <v>2361</v>
      </c>
      <c r="E145" s="195">
        <v>75</v>
      </c>
      <c r="F145" s="195">
        <v>2451</v>
      </c>
      <c r="G145" s="195">
        <v>2781</v>
      </c>
      <c r="H145" s="195">
        <v>2573</v>
      </c>
      <c r="I145" s="195">
        <v>2801</v>
      </c>
      <c r="J145" s="212">
        <f t="shared" si="51"/>
        <v>8.8612514574426759E-2</v>
      </c>
      <c r="K145" s="194">
        <f t="shared" si="50"/>
        <v>228</v>
      </c>
      <c r="L145" s="196">
        <f t="shared" si="49"/>
        <v>5.8549881844624377E-4</v>
      </c>
    </row>
    <row r="146" spans="1:12" x14ac:dyDescent="0.25">
      <c r="A146" s="193" t="s">
        <v>146</v>
      </c>
      <c r="B146" s="194" t="s">
        <v>133</v>
      </c>
      <c r="C146" s="195">
        <v>5563</v>
      </c>
      <c r="D146" s="195">
        <v>4703</v>
      </c>
      <c r="E146" s="195">
        <v>65</v>
      </c>
      <c r="F146" s="195">
        <v>1164</v>
      </c>
      <c r="G146" s="195">
        <v>2087</v>
      </c>
      <c r="H146" s="195">
        <v>1892</v>
      </c>
      <c r="I146" s="195">
        <v>1389</v>
      </c>
      <c r="J146" s="212">
        <f t="shared" si="51"/>
        <v>-0.2658562367864693</v>
      </c>
      <c r="K146" s="194">
        <f t="shared" si="50"/>
        <v>-503</v>
      </c>
      <c r="L146" s="196">
        <f t="shared" si="49"/>
        <v>2.903455404576339E-4</v>
      </c>
    </row>
    <row r="147" spans="1:12" x14ac:dyDescent="0.25">
      <c r="A147" s="198" t="s">
        <v>147</v>
      </c>
      <c r="B147" s="199" t="s">
        <v>147</v>
      </c>
      <c r="C147" s="200">
        <f t="shared" ref="C147" si="52">C139-SUM(C140:C146)</f>
        <v>46442</v>
      </c>
      <c r="D147" s="200">
        <f t="shared" ref="D147:I147" si="53">D139-SUM(D140:D146)</f>
        <v>20976</v>
      </c>
      <c r="E147" s="200">
        <f t="shared" si="53"/>
        <v>20812</v>
      </c>
      <c r="F147" s="200">
        <f t="shared" si="53"/>
        <v>58445</v>
      </c>
      <c r="G147" s="200">
        <f t="shared" si="53"/>
        <v>64209</v>
      </c>
      <c r="H147" s="200">
        <f t="shared" si="53"/>
        <v>68483</v>
      </c>
      <c r="I147" s="200">
        <f t="shared" si="53"/>
        <v>66464</v>
      </c>
      <c r="J147" s="213">
        <f t="shared" si="51"/>
        <v>-2.9481769198195118E-2</v>
      </c>
      <c r="K147" s="199">
        <f>I147-H147</f>
        <v>-2019</v>
      </c>
      <c r="L147" s="201">
        <f t="shared" si="49"/>
        <v>1.3893107272121079E-2</v>
      </c>
    </row>
    <row r="148" spans="1:12" x14ac:dyDescent="0.25">
      <c r="A148" s="1"/>
      <c r="B148" s="186" t="s">
        <v>55</v>
      </c>
      <c r="C148" s="184"/>
      <c r="D148" s="184"/>
      <c r="E148" s="184"/>
      <c r="F148" s="184"/>
      <c r="G148" s="184"/>
      <c r="H148" s="184"/>
      <c r="I148" s="184"/>
      <c r="J148" s="185"/>
      <c r="K148" s="185"/>
      <c r="L148" s="184"/>
    </row>
    <row r="149" spans="1:12" x14ac:dyDescent="0.25">
      <c r="A149" s="1"/>
      <c r="B149" s="187" t="s">
        <v>70</v>
      </c>
      <c r="C149" s="209">
        <v>109315</v>
      </c>
      <c r="D149" s="209">
        <v>38350</v>
      </c>
      <c r="E149" s="209">
        <v>46197</v>
      </c>
      <c r="F149" s="209">
        <v>92850</v>
      </c>
      <c r="G149" s="209">
        <v>105659</v>
      </c>
      <c r="H149" s="209">
        <v>108484</v>
      </c>
      <c r="I149" s="209">
        <v>108442</v>
      </c>
      <c r="J149" s="210">
        <f>IFERROR(I149/H149-1,"-")</f>
        <v>-3.8715386600784996E-4</v>
      </c>
      <c r="K149" s="209">
        <f>I149-H149</f>
        <v>-42</v>
      </c>
      <c r="L149" s="210">
        <f t="shared" ref="L149:L161" si="54">I149/I$9</f>
        <v>2.2667855362351861E-2</v>
      </c>
    </row>
    <row r="150" spans="1:12" x14ac:dyDescent="0.25">
      <c r="A150" s="1" t="s">
        <v>98</v>
      </c>
      <c r="B150" s="190" t="s">
        <v>99</v>
      </c>
      <c r="C150" s="191">
        <v>47136</v>
      </c>
      <c r="D150" s="191">
        <v>16178</v>
      </c>
      <c r="E150" s="191">
        <v>28936</v>
      </c>
      <c r="F150" s="191">
        <v>48454</v>
      </c>
      <c r="G150" s="191">
        <v>52723</v>
      </c>
      <c r="H150" s="191">
        <v>47704</v>
      </c>
      <c r="I150" s="191">
        <v>46747</v>
      </c>
      <c r="J150" s="211">
        <f>IFERROR(I150/H150-1,"-")</f>
        <v>-2.0061210799932949E-2</v>
      </c>
      <c r="K150" s="190">
        <f t="shared" ref="K150:K160" si="55">I150-H150</f>
        <v>-957</v>
      </c>
      <c r="L150" s="192">
        <f t="shared" si="54"/>
        <v>9.7716220156753141E-3</v>
      </c>
    </row>
    <row r="151" spans="1:12" x14ac:dyDescent="0.25">
      <c r="A151" s="193" t="s">
        <v>105</v>
      </c>
      <c r="B151" s="194" t="s">
        <v>105</v>
      </c>
      <c r="C151" s="195">
        <v>27134</v>
      </c>
      <c r="D151" s="195">
        <v>8640</v>
      </c>
      <c r="E151" s="195">
        <v>22906</v>
      </c>
      <c r="F151" s="195">
        <v>34235</v>
      </c>
      <c r="G151" s="195">
        <v>37827</v>
      </c>
      <c r="H151" s="195">
        <v>31702</v>
      </c>
      <c r="I151" s="195">
        <v>28685</v>
      </c>
      <c r="J151" s="212">
        <f>IFERROR(I151/H151-1,"-")</f>
        <v>-9.5167497318781158E-2</v>
      </c>
      <c r="K151" s="194">
        <f t="shared" si="55"/>
        <v>-3017</v>
      </c>
      <c r="L151" s="196">
        <f t="shared" si="54"/>
        <v>5.9960848293932533E-3</v>
      </c>
    </row>
    <row r="152" spans="1:12" x14ac:dyDescent="0.25">
      <c r="A152" s="193" t="s">
        <v>102</v>
      </c>
      <c r="B152" s="194" t="s">
        <v>102</v>
      </c>
      <c r="C152" s="195">
        <v>20002</v>
      </c>
      <c r="D152" s="195">
        <v>7538</v>
      </c>
      <c r="E152" s="195">
        <v>6030</v>
      </c>
      <c r="F152" s="195">
        <v>14219</v>
      </c>
      <c r="G152" s="195">
        <v>14896</v>
      </c>
      <c r="H152" s="195">
        <v>16002</v>
      </c>
      <c r="I152" s="195">
        <v>18062</v>
      </c>
      <c r="J152" s="212">
        <f>IFERROR(I152/H152-1,"-")</f>
        <v>0.12873390826146736</v>
      </c>
      <c r="K152" s="194">
        <f t="shared" si="55"/>
        <v>2060</v>
      </c>
      <c r="L152" s="196">
        <f t="shared" si="54"/>
        <v>3.7755371862820616E-3</v>
      </c>
    </row>
    <row r="153" spans="1:12" x14ac:dyDescent="0.25">
      <c r="A153" s="1"/>
      <c r="B153" s="190" t="s">
        <v>109</v>
      </c>
      <c r="C153" s="191">
        <v>62179</v>
      </c>
      <c r="D153" s="191">
        <v>22172</v>
      </c>
      <c r="E153" s="191">
        <v>17261</v>
      </c>
      <c r="F153" s="191">
        <v>44396</v>
      </c>
      <c r="G153" s="191">
        <v>52936</v>
      </c>
      <c r="H153" s="191">
        <v>60780</v>
      </c>
      <c r="I153" s="191">
        <v>61695</v>
      </c>
      <c r="J153" s="211">
        <f>IFERROR(I153/H153-1,"-")</f>
        <v>1.5054294175715688E-2</v>
      </c>
      <c r="K153" s="190">
        <f t="shared" si="55"/>
        <v>915</v>
      </c>
      <c r="L153" s="192">
        <f t="shared" si="54"/>
        <v>1.2896233346676547E-2</v>
      </c>
    </row>
    <row r="154" spans="1:12" s="74" customFormat="1" x14ac:dyDescent="0.25">
      <c r="B154" s="194" t="s">
        <v>112</v>
      </c>
      <c r="C154" s="195">
        <v>18658</v>
      </c>
      <c r="D154" s="195">
        <v>5936</v>
      </c>
      <c r="E154" s="195">
        <v>1587</v>
      </c>
      <c r="F154" s="195">
        <v>16156</v>
      </c>
      <c r="G154" s="195">
        <v>17447</v>
      </c>
      <c r="H154" s="195">
        <v>18480</v>
      </c>
      <c r="I154" s="195">
        <v>15561</v>
      </c>
      <c r="J154" s="212">
        <f t="shared" ref="J154:J161" si="56">IFERROR(I154/H154-1,"-")</f>
        <v>-0.15795454545454546</v>
      </c>
      <c r="K154" s="194">
        <f t="shared" si="55"/>
        <v>-2919</v>
      </c>
      <c r="L154" s="196">
        <f t="shared" si="54"/>
        <v>3.2527479878050694E-3</v>
      </c>
    </row>
    <row r="155" spans="1:12" s="74" customFormat="1" x14ac:dyDescent="0.25">
      <c r="B155" s="194" t="s">
        <v>115</v>
      </c>
      <c r="C155" s="195">
        <v>16816</v>
      </c>
      <c r="D155" s="195">
        <v>6116</v>
      </c>
      <c r="E155" s="195">
        <v>3638</v>
      </c>
      <c r="F155" s="195">
        <v>9550</v>
      </c>
      <c r="G155" s="195">
        <v>10292</v>
      </c>
      <c r="H155" s="195">
        <v>10773</v>
      </c>
      <c r="I155" s="195">
        <v>10391</v>
      </c>
      <c r="J155" s="212">
        <f t="shared" si="56"/>
        <v>-3.5459017915158264E-2</v>
      </c>
      <c r="K155" s="194">
        <f t="shared" si="55"/>
        <v>-382</v>
      </c>
      <c r="L155" s="196">
        <f t="shared" si="54"/>
        <v>2.1720522036683038E-3</v>
      </c>
    </row>
    <row r="156" spans="1:12" x14ac:dyDescent="0.25">
      <c r="A156" s="1"/>
      <c r="B156" s="194" t="s">
        <v>118</v>
      </c>
      <c r="C156" s="195">
        <v>8867</v>
      </c>
      <c r="D156" s="195">
        <v>2354</v>
      </c>
      <c r="E156" s="195">
        <v>3977</v>
      </c>
      <c r="F156" s="195">
        <v>5273</v>
      </c>
      <c r="G156" s="195">
        <v>8406</v>
      </c>
      <c r="H156" s="195">
        <v>10130</v>
      </c>
      <c r="I156" s="195">
        <v>15931</v>
      </c>
      <c r="J156" s="212">
        <f t="shared" si="56"/>
        <v>0.57265547877591305</v>
      </c>
      <c r="K156" s="194">
        <f t="shared" si="55"/>
        <v>5801</v>
      </c>
      <c r="L156" s="196">
        <f t="shared" si="54"/>
        <v>3.3300898524338128E-3</v>
      </c>
    </row>
    <row r="157" spans="1:12" x14ac:dyDescent="0.25">
      <c r="A157" s="1"/>
      <c r="B157" s="194" t="s">
        <v>125</v>
      </c>
      <c r="C157" s="195">
        <v>1233</v>
      </c>
      <c r="D157" s="195">
        <v>642</v>
      </c>
      <c r="E157" s="195">
        <v>495</v>
      </c>
      <c r="F157" s="195">
        <v>1262</v>
      </c>
      <c r="G157" s="195">
        <v>1597</v>
      </c>
      <c r="H157" s="195">
        <v>2312</v>
      </c>
      <c r="I157" s="195">
        <v>1962</v>
      </c>
      <c r="J157" s="212">
        <f t="shared" si="56"/>
        <v>-0.15138408304498274</v>
      </c>
      <c r="K157" s="194">
        <f t="shared" si="55"/>
        <v>-350</v>
      </c>
      <c r="L157" s="196">
        <f t="shared" si="54"/>
        <v>4.1012091459890403E-4</v>
      </c>
    </row>
    <row r="158" spans="1:12" x14ac:dyDescent="0.25">
      <c r="A158" s="1"/>
      <c r="B158" s="194" t="s">
        <v>121</v>
      </c>
      <c r="C158" s="195">
        <v>2725</v>
      </c>
      <c r="D158" s="195">
        <v>1375</v>
      </c>
      <c r="E158" s="195">
        <v>1274</v>
      </c>
      <c r="F158" s="195">
        <v>2958</v>
      </c>
      <c r="G158" s="195">
        <v>2751</v>
      </c>
      <c r="H158" s="195">
        <v>3237</v>
      </c>
      <c r="I158" s="195">
        <v>2406</v>
      </c>
      <c r="J158" s="212">
        <f t="shared" si="56"/>
        <v>-0.25671918443002784</v>
      </c>
      <c r="K158" s="194">
        <f t="shared" si="55"/>
        <v>-831</v>
      </c>
      <c r="L158" s="196">
        <f t="shared" si="54"/>
        <v>5.0293115215339608E-4</v>
      </c>
    </row>
    <row r="159" spans="1:12" x14ac:dyDescent="0.25">
      <c r="A159" s="1"/>
      <c r="B159" s="194" t="s">
        <v>130</v>
      </c>
      <c r="C159" s="195">
        <v>437</v>
      </c>
      <c r="D159" s="195">
        <v>440</v>
      </c>
      <c r="E159" s="195">
        <v>45</v>
      </c>
      <c r="F159" s="195">
        <v>335</v>
      </c>
      <c r="G159" s="195">
        <v>523</v>
      </c>
      <c r="H159" s="195">
        <v>383</v>
      </c>
      <c r="I159" s="195">
        <v>362</v>
      </c>
      <c r="J159" s="212">
        <f t="shared" si="56"/>
        <v>-5.483028720626637E-2</v>
      </c>
      <c r="K159" s="194">
        <f t="shared" si="55"/>
        <v>-21</v>
      </c>
      <c r="L159" s="196">
        <f t="shared" si="54"/>
        <v>7.5669608096229997E-5</v>
      </c>
    </row>
    <row r="160" spans="1:12" x14ac:dyDescent="0.25">
      <c r="A160" s="193" t="s">
        <v>146</v>
      </c>
      <c r="B160" s="194" t="s">
        <v>133</v>
      </c>
      <c r="C160" s="195">
        <v>843</v>
      </c>
      <c r="D160" s="195">
        <v>575</v>
      </c>
      <c r="E160" s="195">
        <v>80</v>
      </c>
      <c r="F160" s="195">
        <v>528</v>
      </c>
      <c r="G160" s="195">
        <v>715</v>
      </c>
      <c r="H160" s="195">
        <v>621</v>
      </c>
      <c r="I160" s="195">
        <v>501</v>
      </c>
      <c r="J160" s="212">
        <f t="shared" si="56"/>
        <v>-0.19323671497584538</v>
      </c>
      <c r="K160" s="194">
        <f t="shared" si="55"/>
        <v>-120</v>
      </c>
      <c r="L160" s="196">
        <f t="shared" si="54"/>
        <v>1.0472506534864982E-4</v>
      </c>
    </row>
    <row r="161" spans="1:12" x14ac:dyDescent="0.25">
      <c r="A161" s="198" t="s">
        <v>147</v>
      </c>
      <c r="B161" s="199" t="s">
        <v>147</v>
      </c>
      <c r="C161" s="200">
        <f t="shared" ref="C161" si="57">C153-SUM(C154:C160)</f>
        <v>12600</v>
      </c>
      <c r="D161" s="200">
        <f t="shared" ref="D161:I161" si="58">D153-SUM(D154:D160)</f>
        <v>4734</v>
      </c>
      <c r="E161" s="200">
        <f t="shared" si="58"/>
        <v>6165</v>
      </c>
      <c r="F161" s="200">
        <f t="shared" si="58"/>
        <v>8334</v>
      </c>
      <c r="G161" s="200">
        <f t="shared" si="58"/>
        <v>11205</v>
      </c>
      <c r="H161" s="200">
        <f t="shared" si="58"/>
        <v>14844</v>
      </c>
      <c r="I161" s="200">
        <f t="shared" si="58"/>
        <v>14581</v>
      </c>
      <c r="J161" s="213">
        <f t="shared" si="56"/>
        <v>-1.7717596335219632E-2</v>
      </c>
      <c r="K161" s="199">
        <f>I161-H161</f>
        <v>-263</v>
      </c>
      <c r="L161" s="201">
        <f t="shared" si="54"/>
        <v>3.0478965625721816E-3</v>
      </c>
    </row>
    <row r="162" spans="1:12" ht="6" customHeight="1" x14ac:dyDescent="0.25">
      <c r="C162" s="103"/>
      <c r="D162" s="103"/>
      <c r="E162" s="103"/>
      <c r="F162" s="103"/>
      <c r="G162" s="103"/>
      <c r="H162" s="103"/>
      <c r="I162" s="103"/>
      <c r="J162" s="103"/>
    </row>
    <row r="163" spans="1:12" x14ac:dyDescent="0.25">
      <c r="B163" s="131" t="s">
        <v>57</v>
      </c>
      <c r="C163" s="131"/>
      <c r="D163" s="131"/>
      <c r="E163" s="131"/>
      <c r="F163" s="131"/>
      <c r="G163" s="131"/>
      <c r="H163" s="131"/>
      <c r="I163" s="131"/>
      <c r="J163" s="131"/>
      <c r="K163" s="131"/>
      <c r="L163" s="131"/>
    </row>
  </sheetData>
  <mergeCells count="3">
    <mergeCell ref="B4:L4"/>
    <mergeCell ref="O4:X4"/>
    <mergeCell ref="C6:L6"/>
  </mergeCells>
  <pageMargins left="0.25" right="0.25" top="0.75" bottom="0.75" header="0.3" footer="0.3"/>
  <pageSetup paperSize="9" scale="2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57D92-C28C-4F28-B4F3-17E85E25EF01}">
  <sheetPr>
    <tabColor rgb="FFBB5C0D"/>
  </sheetPr>
  <dimension ref="A4:A24"/>
  <sheetViews>
    <sheetView showGridLines="0" workbookViewId="0">
      <selection activeCell="G10" sqref="G10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3579A-5A39-4605-9492-A2D558861CBE}">
  <sheetPr>
    <tabColor rgb="FFF29140"/>
  </sheetPr>
  <dimension ref="A4:O270"/>
  <sheetViews>
    <sheetView showGridLines="0" zoomScaleNormal="100" workbookViewId="0">
      <selection activeCell="G10" sqref="G10"/>
    </sheetView>
  </sheetViews>
  <sheetFormatPr baseColWidth="10" defaultColWidth="11.42578125" defaultRowHeight="15" x14ac:dyDescent="0.25"/>
  <cols>
    <col min="1" max="1" width="15.28515625" customWidth="1"/>
    <col min="14" max="14" width="13.5703125" bestFit="1" customWidth="1"/>
  </cols>
  <sheetData>
    <row r="4" spans="1:15" ht="48.75" customHeight="1" thickBot="1" x14ac:dyDescent="0.3">
      <c r="B4" s="12" t="s">
        <v>275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" t="s">
        <v>68</v>
      </c>
    </row>
    <row r="5" spans="1:15" ht="10.5" customHeight="1" thickBot="1" x14ac:dyDescent="0.3">
      <c r="B5" s="132"/>
      <c r="C5" s="133"/>
      <c r="D5" s="132"/>
      <c r="E5" s="132"/>
      <c r="F5" s="132"/>
      <c r="G5" s="132"/>
      <c r="H5" s="132"/>
      <c r="I5" s="132"/>
      <c r="J5" s="132"/>
      <c r="K5" s="132"/>
      <c r="L5" s="132"/>
      <c r="M5" s="4"/>
      <c r="N5" s="4"/>
      <c r="O5" s="1" t="s">
        <v>69</v>
      </c>
    </row>
    <row r="6" spans="1:15" ht="22.5" thickTop="1" thickBot="1" x14ac:dyDescent="0.3">
      <c r="B6" s="134" t="s">
        <v>32</v>
      </c>
      <c r="C6" s="135" t="s">
        <v>70</v>
      </c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1:15" ht="22.5" thickTop="1" thickBot="1" x14ac:dyDescent="0.3">
      <c r="B7" s="137"/>
      <c r="C7" s="138">
        <f t="shared" ref="C7" si="0">E7-1</f>
        <v>2020</v>
      </c>
      <c r="D7" s="139"/>
      <c r="E7" s="140">
        <f t="shared" ref="E7" si="1">G7-1</f>
        <v>2021</v>
      </c>
      <c r="F7" s="139"/>
      <c r="G7" s="140">
        <f t="shared" ref="G7" si="2">I7-1</f>
        <v>2022</v>
      </c>
      <c r="H7" s="139"/>
      <c r="I7" s="140">
        <f t="shared" ref="I7" si="3">K7-1</f>
        <v>2023</v>
      </c>
      <c r="J7" s="139"/>
      <c r="K7" s="140">
        <f>M7-1</f>
        <v>2024</v>
      </c>
      <c r="L7" s="139"/>
      <c r="M7" s="140">
        <v>2025</v>
      </c>
      <c r="N7" s="141"/>
    </row>
    <row r="8" spans="1:15" ht="16.5" thickTop="1" thickBot="1" x14ac:dyDescent="0.3">
      <c r="B8" s="109"/>
      <c r="C8" s="142" t="s">
        <v>71</v>
      </c>
      <c r="D8" s="143" t="str">
        <f>CONCATENATE("var ",RIGHT(C7,2),"/",RIGHT(C7-1,2))</f>
        <v>var 20/19</v>
      </c>
      <c r="E8" s="144" t="s">
        <v>71</v>
      </c>
      <c r="F8" s="143" t="str">
        <f>CONCATENATE("var ",RIGHT(E7,2),"/",RIGHT(C7,2))</f>
        <v>var 21/20</v>
      </c>
      <c r="G8" s="144" t="s">
        <v>71</v>
      </c>
      <c r="H8" s="143" t="str">
        <f>CONCATENATE("var ",RIGHT(G7,2),"/",RIGHT(E7,2))</f>
        <v>var 22/21</v>
      </c>
      <c r="I8" s="144" t="s">
        <v>71</v>
      </c>
      <c r="J8" s="143" t="str">
        <f>CONCATENATE("var ",RIGHT(I7,2),"/",RIGHT(G7,2))</f>
        <v>var 23/22</v>
      </c>
      <c r="K8" s="144" t="s">
        <v>71</v>
      </c>
      <c r="L8" s="143" t="str">
        <f>CONCATENATE("var ",RIGHT(K7,2),"/",RIGHT(I7,2))</f>
        <v>var 24/23</v>
      </c>
      <c r="M8" s="144" t="s">
        <v>71</v>
      </c>
      <c r="N8" s="143" t="str">
        <f>CONCATENATE("var ",RIGHT(M7,2),"/",RIGHT(K7,2))</f>
        <v>var 25/24</v>
      </c>
    </row>
    <row r="9" spans="1:15" x14ac:dyDescent="0.25">
      <c r="A9" s="1" t="s">
        <v>72</v>
      </c>
      <c r="B9" s="145" t="s">
        <v>73</v>
      </c>
      <c r="C9" s="146">
        <v>157800</v>
      </c>
      <c r="D9" s="147">
        <v>9.3902719852620997E-3</v>
      </c>
      <c r="E9" s="146">
        <v>26469</v>
      </c>
      <c r="F9" s="147">
        <f t="shared" ref="F9:L21" si="4">IFERROR(E9/C9-1,"-")</f>
        <v>-0.83226235741444865</v>
      </c>
      <c r="G9" s="146">
        <v>114870</v>
      </c>
      <c r="H9" s="147">
        <f t="shared" si="4"/>
        <v>3.3397937209565907</v>
      </c>
      <c r="I9" s="146">
        <v>163920</v>
      </c>
      <c r="J9" s="147">
        <f t="shared" si="4"/>
        <v>0.4270044398015147</v>
      </c>
      <c r="K9" s="146">
        <v>173408</v>
      </c>
      <c r="L9" s="147">
        <f t="shared" si="4"/>
        <v>5.7881893606637425E-2</v>
      </c>
      <c r="M9" s="146">
        <v>169944</v>
      </c>
      <c r="N9" s="147">
        <f>IFERROR(M9/K9-1,"-")</f>
        <v>-1.9976010334009975E-2</v>
      </c>
    </row>
    <row r="10" spans="1:15" x14ac:dyDescent="0.25">
      <c r="A10" s="1" t="s">
        <v>74</v>
      </c>
      <c r="B10" s="145" t="s">
        <v>75</v>
      </c>
      <c r="C10" s="146">
        <v>172884</v>
      </c>
      <c r="D10" s="147">
        <v>0.19373593139353429</v>
      </c>
      <c r="E10" s="146">
        <v>18511</v>
      </c>
      <c r="F10" s="147">
        <f t="shared" si="4"/>
        <v>-0.89292820619606206</v>
      </c>
      <c r="G10" s="146">
        <v>141290</v>
      </c>
      <c r="H10" s="147">
        <f t="shared" si="4"/>
        <v>6.6327589001134459</v>
      </c>
      <c r="I10" s="146">
        <v>156374</v>
      </c>
      <c r="J10" s="147">
        <f t="shared" si="4"/>
        <v>0.10675914785193563</v>
      </c>
      <c r="K10" s="146">
        <v>166759</v>
      </c>
      <c r="L10" s="147">
        <f t="shared" si="4"/>
        <v>6.6411295995497888E-2</v>
      </c>
      <c r="M10" s="146">
        <v>168166</v>
      </c>
      <c r="N10" s="147">
        <f t="shared" ref="N10:N17" si="5">IFERROR(M10/K10-1,"-")</f>
        <v>8.437325721550204E-3</v>
      </c>
    </row>
    <row r="11" spans="1:15" x14ac:dyDescent="0.25">
      <c r="A11" s="1" t="s">
        <v>76</v>
      </c>
      <c r="B11" s="145" t="s">
        <v>77</v>
      </c>
      <c r="C11" s="146">
        <v>82007</v>
      </c>
      <c r="D11" s="147">
        <v>-0.47045111131200679</v>
      </c>
      <c r="E11" s="146">
        <v>22143</v>
      </c>
      <c r="F11" s="147">
        <f t="shared" si="4"/>
        <v>-0.72998646457009775</v>
      </c>
      <c r="G11" s="146">
        <v>148905</v>
      </c>
      <c r="H11" s="147">
        <f t="shared" si="4"/>
        <v>5.724698550331933</v>
      </c>
      <c r="I11" s="146">
        <v>146134</v>
      </c>
      <c r="J11" s="147">
        <f t="shared" si="4"/>
        <v>-1.8609180349887566E-2</v>
      </c>
      <c r="K11" s="146">
        <v>176870</v>
      </c>
      <c r="L11" s="147">
        <f t="shared" si="4"/>
        <v>0.21032750762998353</v>
      </c>
      <c r="M11" s="146">
        <v>166403</v>
      </c>
      <c r="N11" s="147">
        <f t="shared" si="5"/>
        <v>-5.9179058065245704E-2</v>
      </c>
    </row>
    <row r="12" spans="1:15" x14ac:dyDescent="0.25">
      <c r="A12" s="1" t="s">
        <v>78</v>
      </c>
      <c r="B12" s="145" t="s">
        <v>79</v>
      </c>
      <c r="C12" s="146">
        <v>0</v>
      </c>
      <c r="D12" s="147">
        <v>-1</v>
      </c>
      <c r="E12" s="146">
        <v>22148</v>
      </c>
      <c r="F12" s="147" t="str">
        <f t="shared" si="4"/>
        <v>-</v>
      </c>
      <c r="G12" s="146">
        <v>152510</v>
      </c>
      <c r="H12" s="147">
        <f t="shared" si="4"/>
        <v>5.885949069893444</v>
      </c>
      <c r="I12" s="146">
        <v>144835</v>
      </c>
      <c r="J12" s="147">
        <f t="shared" si="4"/>
        <v>-5.0324568880729115E-2</v>
      </c>
      <c r="K12" s="146">
        <v>154662</v>
      </c>
      <c r="L12" s="147">
        <f t="shared" si="4"/>
        <v>6.7849621983636643E-2</v>
      </c>
      <c r="M12" s="146">
        <v>160144</v>
      </c>
      <c r="N12" s="147">
        <f t="shared" si="5"/>
        <v>3.5445034979503687E-2</v>
      </c>
    </row>
    <row r="13" spans="1:15" x14ac:dyDescent="0.25">
      <c r="A13" s="1" t="s">
        <v>80</v>
      </c>
      <c r="B13" s="145" t="s">
        <v>81</v>
      </c>
      <c r="C13" s="146">
        <v>0</v>
      </c>
      <c r="D13" s="147">
        <v>-1</v>
      </c>
      <c r="E13" s="146">
        <v>24096</v>
      </c>
      <c r="F13" s="147" t="str">
        <f t="shared" si="4"/>
        <v>-</v>
      </c>
      <c r="G13" s="146">
        <v>125910</v>
      </c>
      <c r="H13" s="147">
        <f t="shared" si="4"/>
        <v>4.2253486055776897</v>
      </c>
      <c r="I13" s="146">
        <v>140451</v>
      </c>
      <c r="J13" s="147">
        <f t="shared" si="4"/>
        <v>0.11548725279961869</v>
      </c>
      <c r="K13" s="146">
        <v>159924</v>
      </c>
      <c r="L13" s="147">
        <f t="shared" si="4"/>
        <v>0.1386462182540531</v>
      </c>
      <c r="M13" s="146">
        <v>143215</v>
      </c>
      <c r="N13" s="147">
        <f t="shared" si="5"/>
        <v>-0.10448087841724818</v>
      </c>
    </row>
    <row r="14" spans="1:15" x14ac:dyDescent="0.25">
      <c r="A14" s="1" t="s">
        <v>82</v>
      </c>
      <c r="B14" s="145" t="s">
        <v>83</v>
      </c>
      <c r="C14" s="146">
        <v>0</v>
      </c>
      <c r="D14" s="147">
        <v>-1</v>
      </c>
      <c r="E14" s="146">
        <v>18794</v>
      </c>
      <c r="F14" s="147" t="str">
        <f t="shared" si="4"/>
        <v>-</v>
      </c>
      <c r="G14" s="146">
        <v>132220</v>
      </c>
      <c r="H14" s="147">
        <f t="shared" si="4"/>
        <v>6.0352240076620198</v>
      </c>
      <c r="I14" s="146">
        <v>142289</v>
      </c>
      <c r="J14" s="147">
        <f t="shared" si="4"/>
        <v>7.6153380729087949E-2</v>
      </c>
      <c r="K14" s="146">
        <v>157113</v>
      </c>
      <c r="L14" s="147">
        <f t="shared" si="4"/>
        <v>0.10418233313889336</v>
      </c>
      <c r="M14" s="146">
        <v>156124</v>
      </c>
      <c r="N14" s="147">
        <f t="shared" si="5"/>
        <v>-6.2948323817888507E-3</v>
      </c>
    </row>
    <row r="15" spans="1:15" x14ac:dyDescent="0.25">
      <c r="A15" s="1" t="s">
        <v>84</v>
      </c>
      <c r="B15" s="145" t="s">
        <v>85</v>
      </c>
      <c r="C15" s="146">
        <v>0</v>
      </c>
      <c r="D15" s="147">
        <v>-1</v>
      </c>
      <c r="E15" s="146">
        <v>61086</v>
      </c>
      <c r="F15" s="147" t="str">
        <f t="shared" si="4"/>
        <v>-</v>
      </c>
      <c r="G15" s="146">
        <v>159520</v>
      </c>
      <c r="H15" s="147">
        <f t="shared" si="4"/>
        <v>1.6114003208591168</v>
      </c>
      <c r="I15" s="146">
        <v>166431</v>
      </c>
      <c r="J15" s="147">
        <f t="shared" si="4"/>
        <v>4.3323721163490481E-2</v>
      </c>
      <c r="K15" s="146">
        <v>173767</v>
      </c>
      <c r="L15" s="147">
        <f t="shared" si="4"/>
        <v>4.4078326754030117E-2</v>
      </c>
      <c r="M15" s="146">
        <v>187387</v>
      </c>
      <c r="N15" s="147">
        <f t="shared" si="5"/>
        <v>7.8380820293841857E-2</v>
      </c>
    </row>
    <row r="16" spans="1:15" x14ac:dyDescent="0.25">
      <c r="A16" s="1" t="s">
        <v>86</v>
      </c>
      <c r="B16" s="145" t="s">
        <v>87</v>
      </c>
      <c r="C16" s="146">
        <v>60513</v>
      </c>
      <c r="D16" s="147">
        <v>-0.66723673357162494</v>
      </c>
      <c r="E16" s="146">
        <v>94829</v>
      </c>
      <c r="F16" s="147">
        <f t="shared" si="4"/>
        <v>0.56708475864690233</v>
      </c>
      <c r="G16" s="146">
        <v>178525</v>
      </c>
      <c r="H16" s="147">
        <f t="shared" si="4"/>
        <v>0.88259920488458166</v>
      </c>
      <c r="I16" s="146">
        <v>181874</v>
      </c>
      <c r="J16" s="147">
        <f t="shared" si="4"/>
        <v>1.875927741212724E-2</v>
      </c>
      <c r="K16" s="146">
        <v>179514</v>
      </c>
      <c r="L16" s="147">
        <f t="shared" si="4"/>
        <v>-1.2976016362976517E-2</v>
      </c>
      <c r="M16" s="146">
        <v>189132</v>
      </c>
      <c r="N16" s="147">
        <f t="shared" si="5"/>
        <v>5.3577993916908984E-2</v>
      </c>
    </row>
    <row r="17" spans="1:15" x14ac:dyDescent="0.25">
      <c r="A17" s="1" t="s">
        <v>88</v>
      </c>
      <c r="B17" s="145" t="s">
        <v>89</v>
      </c>
      <c r="C17" s="146">
        <v>22909</v>
      </c>
      <c r="D17" s="147">
        <v>-0.86040885964110536</v>
      </c>
      <c r="E17" s="146">
        <v>89027</v>
      </c>
      <c r="F17" s="147">
        <f t="shared" si="4"/>
        <v>2.8861146274389977</v>
      </c>
      <c r="G17" s="146">
        <v>136089</v>
      </c>
      <c r="H17" s="147">
        <f t="shared" si="4"/>
        <v>0.52862614712390621</v>
      </c>
      <c r="I17" s="146">
        <v>150809</v>
      </c>
      <c r="J17" s="147">
        <f t="shared" si="4"/>
        <v>0.10816450998978611</v>
      </c>
      <c r="K17" s="146">
        <v>145872</v>
      </c>
      <c r="L17" s="147">
        <f t="shared" si="4"/>
        <v>-3.2736773004263697E-2</v>
      </c>
      <c r="M17" s="146">
        <v>164231</v>
      </c>
      <c r="N17" s="147">
        <f t="shared" si="5"/>
        <v>0.12585691565207857</v>
      </c>
    </row>
    <row r="18" spans="1:15" x14ac:dyDescent="0.25">
      <c r="A18" s="1" t="s">
        <v>90</v>
      </c>
      <c r="B18" s="145" t="s">
        <v>91</v>
      </c>
      <c r="C18" s="146">
        <v>24343</v>
      </c>
      <c r="D18" s="147">
        <v>-0.84925814921232534</v>
      </c>
      <c r="E18" s="146">
        <v>137179</v>
      </c>
      <c r="F18" s="147">
        <f t="shared" si="4"/>
        <v>4.6352544879431461</v>
      </c>
      <c r="G18" s="146">
        <v>154114</v>
      </c>
      <c r="H18" s="147">
        <f t="shared" si="4"/>
        <v>0.12345184029625522</v>
      </c>
      <c r="I18" s="146">
        <v>170708</v>
      </c>
      <c r="J18" s="147">
        <f t="shared" si="4"/>
        <v>0.10767354036622234</v>
      </c>
      <c r="K18" s="146">
        <v>177711</v>
      </c>
      <c r="L18" s="147">
        <f t="shared" si="4"/>
        <v>4.1023267802329233E-2</v>
      </c>
      <c r="M18" s="146"/>
      <c r="N18" s="147"/>
    </row>
    <row r="19" spans="1:15" x14ac:dyDescent="0.25">
      <c r="A19" s="1" t="s">
        <v>92</v>
      </c>
      <c r="B19" s="145" t="s">
        <v>93</v>
      </c>
      <c r="C19" s="146">
        <v>30656</v>
      </c>
      <c r="D19" s="147">
        <v>-0.78903470439671608</v>
      </c>
      <c r="E19" s="146">
        <v>137494</v>
      </c>
      <c r="F19" s="147">
        <f t="shared" si="4"/>
        <v>3.4850600208768263</v>
      </c>
      <c r="G19" s="146">
        <v>153023</v>
      </c>
      <c r="H19" s="147">
        <f t="shared" si="4"/>
        <v>0.11294311024481063</v>
      </c>
      <c r="I19" s="146">
        <v>164389</v>
      </c>
      <c r="J19" s="147">
        <f t="shared" si="4"/>
        <v>7.427641596361334E-2</v>
      </c>
      <c r="K19" s="146">
        <v>162641</v>
      </c>
      <c r="L19" s="147">
        <f t="shared" si="4"/>
        <v>-1.0633314881166034E-2</v>
      </c>
      <c r="M19" s="146"/>
      <c r="N19" s="147"/>
    </row>
    <row r="20" spans="1:15" x14ac:dyDescent="0.25">
      <c r="A20" s="1" t="s">
        <v>94</v>
      </c>
      <c r="B20" s="145" t="s">
        <v>95</v>
      </c>
      <c r="C20" s="146">
        <v>33192</v>
      </c>
      <c r="D20" s="147">
        <v>-0.77792348556823809</v>
      </c>
      <c r="E20" s="146">
        <v>123213</v>
      </c>
      <c r="F20" s="147">
        <f t="shared" si="4"/>
        <v>2.7121294287780189</v>
      </c>
      <c r="G20" s="146">
        <v>156141</v>
      </c>
      <c r="H20" s="147">
        <f t="shared" si="4"/>
        <v>0.26724452776898544</v>
      </c>
      <c r="I20" s="146">
        <v>158524</v>
      </c>
      <c r="J20" s="147">
        <f t="shared" si="4"/>
        <v>1.5261846664232914E-2</v>
      </c>
      <c r="K20" s="146">
        <v>160539</v>
      </c>
      <c r="L20" s="147">
        <f t="shared" si="4"/>
        <v>1.271100905856537E-2</v>
      </c>
      <c r="M20" s="146"/>
      <c r="N20" s="147"/>
    </row>
    <row r="21" spans="1:15" ht="15.75" x14ac:dyDescent="0.25">
      <c r="A21" s="1" t="s">
        <v>0</v>
      </c>
      <c r="B21" s="148" t="s">
        <v>32</v>
      </c>
      <c r="C21" s="149">
        <v>610766</v>
      </c>
      <c r="D21" s="150">
        <v>-0.67105747874249499</v>
      </c>
      <c r="E21" s="149">
        <v>774989</v>
      </c>
      <c r="F21" s="150">
        <f t="shared" si="4"/>
        <v>0.26888038954362226</v>
      </c>
      <c r="G21" s="149">
        <v>1753117</v>
      </c>
      <c r="H21" s="150">
        <f t="shared" si="4"/>
        <v>1.2621185591021291</v>
      </c>
      <c r="I21" s="149">
        <v>1886738</v>
      </c>
      <c r="J21" s="150">
        <f t="shared" si="4"/>
        <v>7.6219100037247856E-2</v>
      </c>
      <c r="K21" s="149">
        <v>1988780</v>
      </c>
      <c r="L21" s="150">
        <f t="shared" si="4"/>
        <v>5.4083820859069931E-2</v>
      </c>
      <c r="M21" s="149">
        <v>1504746</v>
      </c>
      <c r="N21" s="150">
        <v>1.1329474174484711E-2</v>
      </c>
    </row>
    <row r="22" spans="1:15" ht="6" customHeight="1" x14ac:dyDescent="0.25"/>
    <row r="23" spans="1:15" x14ac:dyDescent="0.25">
      <c r="B23" s="131" t="s">
        <v>57</v>
      </c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</row>
    <row r="24" spans="1:15" x14ac:dyDescent="0.25">
      <c r="C24" s="151"/>
      <c r="K24" s="151"/>
      <c r="N24" s="103"/>
    </row>
    <row r="26" spans="1:15" ht="48.75" customHeight="1" thickBot="1" x14ac:dyDescent="0.3">
      <c r="B26" s="12" t="s">
        <v>276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" t="s">
        <v>96</v>
      </c>
    </row>
    <row r="27" spans="1:15" ht="10.5" customHeight="1" thickBot="1" x14ac:dyDescent="0.3">
      <c r="B27" s="132"/>
      <c r="C27" s="133"/>
      <c r="D27" s="132"/>
      <c r="E27" s="132"/>
      <c r="F27" s="132"/>
      <c r="G27" s="132"/>
      <c r="H27" s="132"/>
      <c r="I27" s="132"/>
      <c r="J27" s="132"/>
      <c r="K27" s="132"/>
      <c r="L27" s="132"/>
      <c r="M27" s="4"/>
      <c r="N27" s="4"/>
      <c r="O27" s="1" t="s">
        <v>97</v>
      </c>
    </row>
    <row r="28" spans="1:15" ht="22.5" thickTop="1" thickBot="1" x14ac:dyDescent="0.3">
      <c r="B28" s="152" t="s">
        <v>98</v>
      </c>
      <c r="C28" s="135" t="s">
        <v>99</v>
      </c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</row>
    <row r="29" spans="1:15" ht="22.5" thickTop="1" thickBot="1" x14ac:dyDescent="0.3">
      <c r="B29" s="137"/>
      <c r="C29" s="138">
        <f>$C$7</f>
        <v>2020</v>
      </c>
      <c r="D29" s="139"/>
      <c r="E29" s="140">
        <f>$E$7</f>
        <v>2021</v>
      </c>
      <c r="F29" s="139"/>
      <c r="G29" s="140">
        <f>$G$7</f>
        <v>2022</v>
      </c>
      <c r="H29" s="139"/>
      <c r="I29" s="140">
        <f>$I$7</f>
        <v>2023</v>
      </c>
      <c r="J29" s="139"/>
      <c r="K29" s="140">
        <f>$K$7</f>
        <v>2024</v>
      </c>
      <c r="L29" s="139"/>
      <c r="M29" s="140">
        <f>$M$7</f>
        <v>2025</v>
      </c>
      <c r="N29" s="141"/>
    </row>
    <row r="30" spans="1:15" ht="16.5" thickTop="1" thickBot="1" x14ac:dyDescent="0.3">
      <c r="B30" s="109"/>
      <c r="C30" s="142" t="s">
        <v>71</v>
      </c>
      <c r="D30" s="143" t="str">
        <f>CONCATENATE("var. ",RIGHT(C29,2),"/",RIGHT(C29-1,2))</f>
        <v>var. 20/19</v>
      </c>
      <c r="E30" s="144" t="s">
        <v>71</v>
      </c>
      <c r="F30" s="143" t="s">
        <v>251</v>
      </c>
      <c r="G30" s="144" t="s">
        <v>71</v>
      </c>
      <c r="H30" s="143" t="s">
        <v>251</v>
      </c>
      <c r="I30" s="144" t="s">
        <v>71</v>
      </c>
      <c r="J30" s="143" t="s">
        <v>251</v>
      </c>
      <c r="K30" s="144" t="s">
        <v>71</v>
      </c>
      <c r="L30" s="143" t="s">
        <v>251</v>
      </c>
      <c r="M30" s="144" t="s">
        <v>71</v>
      </c>
      <c r="N30" s="143" t="s">
        <v>277</v>
      </c>
    </row>
    <row r="31" spans="1:15" x14ac:dyDescent="0.25">
      <c r="B31" s="145" t="s">
        <v>73</v>
      </c>
      <c r="C31" s="146">
        <v>2810</v>
      </c>
      <c r="D31" s="147">
        <v>-0.63960497627292545</v>
      </c>
      <c r="E31" s="146">
        <v>7933</v>
      </c>
      <c r="F31" s="147">
        <f t="shared" ref="F31:L43" si="6">IFERROR(E31/C31-1,"-")</f>
        <v>1.8231316725978646</v>
      </c>
      <c r="G31" s="146">
        <v>4259</v>
      </c>
      <c r="H31" s="147">
        <f t="shared" si="6"/>
        <v>-0.46312870288667596</v>
      </c>
      <c r="I31" s="146">
        <v>7684</v>
      </c>
      <c r="J31" s="147">
        <f t="shared" si="6"/>
        <v>0.80417938483212015</v>
      </c>
      <c r="K31" s="146">
        <v>4643</v>
      </c>
      <c r="L31" s="147">
        <f t="shared" si="6"/>
        <v>-0.39575741801145237</v>
      </c>
      <c r="M31" s="146">
        <v>4190</v>
      </c>
      <c r="N31" s="147">
        <f t="shared" ref="N31:N39" si="7">IFERROR(M31/K31-1,"-")</f>
        <v>-9.7566228731423621E-2</v>
      </c>
    </row>
    <row r="32" spans="1:15" x14ac:dyDescent="0.25">
      <c r="B32" s="145" t="s">
        <v>75</v>
      </c>
      <c r="C32" s="146">
        <v>4481</v>
      </c>
      <c r="D32" s="147">
        <v>-0.24281851977019264</v>
      </c>
      <c r="E32" s="146">
        <v>6177</v>
      </c>
      <c r="F32" s="147">
        <f t="shared" si="6"/>
        <v>0.37848694487837542</v>
      </c>
      <c r="G32" s="146">
        <v>4072</v>
      </c>
      <c r="H32" s="147">
        <f t="shared" si="6"/>
        <v>-0.34078031406831799</v>
      </c>
      <c r="I32" s="146">
        <v>4631</v>
      </c>
      <c r="J32" s="147">
        <f t="shared" si="6"/>
        <v>0.13727897838899805</v>
      </c>
      <c r="K32" s="146">
        <v>3359</v>
      </c>
      <c r="L32" s="147">
        <f t="shared" si="6"/>
        <v>-0.27467069747354778</v>
      </c>
      <c r="M32" s="146">
        <v>2494</v>
      </c>
      <c r="N32" s="147">
        <f t="shared" si="7"/>
        <v>-0.2575171181899375</v>
      </c>
    </row>
    <row r="33" spans="2:15" x14ac:dyDescent="0.25">
      <c r="B33" s="145" t="s">
        <v>77</v>
      </c>
      <c r="C33" s="146">
        <v>1861</v>
      </c>
      <c r="D33" s="147">
        <v>-0.87807914046121593</v>
      </c>
      <c r="E33" s="146">
        <v>6981</v>
      </c>
      <c r="F33" s="147">
        <f t="shared" si="6"/>
        <v>2.751209027404621</v>
      </c>
      <c r="G33" s="146">
        <v>4758</v>
      </c>
      <c r="H33" s="147">
        <f t="shared" si="6"/>
        <v>-0.31843575418994419</v>
      </c>
      <c r="I33" s="146">
        <v>6445</v>
      </c>
      <c r="J33" s="147">
        <f t="shared" si="6"/>
        <v>0.35456073980664149</v>
      </c>
      <c r="K33" s="146">
        <v>7332</v>
      </c>
      <c r="L33" s="147">
        <f t="shared" si="6"/>
        <v>0.1376260667183864</v>
      </c>
      <c r="M33" s="146">
        <v>3474</v>
      </c>
      <c r="N33" s="147">
        <f t="shared" si="7"/>
        <v>-0.52618657937806868</v>
      </c>
    </row>
    <row r="34" spans="2:15" x14ac:dyDescent="0.25">
      <c r="B34" s="145" t="s">
        <v>79</v>
      </c>
      <c r="C34" s="146">
        <v>0</v>
      </c>
      <c r="D34" s="147">
        <v>-1</v>
      </c>
      <c r="E34" s="146">
        <v>10350</v>
      </c>
      <c r="F34" s="147" t="str">
        <f t="shared" si="6"/>
        <v>-</v>
      </c>
      <c r="G34" s="146">
        <v>8585</v>
      </c>
      <c r="H34" s="147">
        <f t="shared" si="6"/>
        <v>-0.17053140096618358</v>
      </c>
      <c r="I34" s="146">
        <v>11356</v>
      </c>
      <c r="J34" s="147">
        <f t="shared" si="6"/>
        <v>0.32277227722772284</v>
      </c>
      <c r="K34" s="146">
        <v>5241</v>
      </c>
      <c r="L34" s="147">
        <f t="shared" si="6"/>
        <v>-0.53848185980979224</v>
      </c>
      <c r="M34" s="146">
        <v>8301</v>
      </c>
      <c r="N34" s="147">
        <f t="shared" si="7"/>
        <v>0.58385804235832861</v>
      </c>
    </row>
    <row r="35" spans="2:15" x14ac:dyDescent="0.25">
      <c r="B35" s="145" t="s">
        <v>81</v>
      </c>
      <c r="C35" s="146">
        <v>0</v>
      </c>
      <c r="D35" s="147">
        <v>-1</v>
      </c>
      <c r="E35" s="146">
        <v>10388</v>
      </c>
      <c r="F35" s="147" t="str">
        <f t="shared" si="6"/>
        <v>-</v>
      </c>
      <c r="G35" s="146">
        <v>7510</v>
      </c>
      <c r="H35" s="147">
        <f t="shared" si="6"/>
        <v>-0.27705044281863689</v>
      </c>
      <c r="I35" s="146">
        <v>8116</v>
      </c>
      <c r="J35" s="147">
        <f t="shared" si="6"/>
        <v>8.0692410119840297E-2</v>
      </c>
      <c r="K35" s="146">
        <v>6651</v>
      </c>
      <c r="L35" s="147">
        <f t="shared" si="6"/>
        <v>-0.18050763923114832</v>
      </c>
      <c r="M35" s="146">
        <v>7050</v>
      </c>
      <c r="N35" s="147">
        <f t="shared" si="7"/>
        <v>5.999097880018045E-2</v>
      </c>
    </row>
    <row r="36" spans="2:15" x14ac:dyDescent="0.25">
      <c r="B36" s="145" t="s">
        <v>83</v>
      </c>
      <c r="C36" s="146">
        <v>0</v>
      </c>
      <c r="D36" s="147">
        <v>-1</v>
      </c>
      <c r="E36" s="146">
        <v>7198</v>
      </c>
      <c r="F36" s="147" t="str">
        <f t="shared" si="6"/>
        <v>-</v>
      </c>
      <c r="G36" s="146">
        <v>7211</v>
      </c>
      <c r="H36" s="147">
        <f t="shared" si="6"/>
        <v>1.8060572381217721E-3</v>
      </c>
      <c r="I36" s="146">
        <v>11716</v>
      </c>
      <c r="J36" s="147">
        <f t="shared" si="6"/>
        <v>0.62473998058521696</v>
      </c>
      <c r="K36" s="146">
        <v>9313</v>
      </c>
      <c r="L36" s="147">
        <f t="shared" si="6"/>
        <v>-0.20510413110276549</v>
      </c>
      <c r="M36" s="146">
        <v>9472</v>
      </c>
      <c r="N36" s="147">
        <f t="shared" si="7"/>
        <v>1.7072908837109324E-2</v>
      </c>
    </row>
    <row r="37" spans="2:15" x14ac:dyDescent="0.25">
      <c r="B37" s="145" t="s">
        <v>85</v>
      </c>
      <c r="C37" s="146">
        <v>0</v>
      </c>
      <c r="D37" s="147">
        <v>-1</v>
      </c>
      <c r="E37" s="146">
        <v>18335</v>
      </c>
      <c r="F37" s="147" t="str">
        <f t="shared" si="6"/>
        <v>-</v>
      </c>
      <c r="G37" s="146">
        <v>16871</v>
      </c>
      <c r="H37" s="147">
        <f t="shared" si="6"/>
        <v>-7.9847286610308155E-2</v>
      </c>
      <c r="I37" s="146">
        <v>16350</v>
      </c>
      <c r="J37" s="147">
        <f t="shared" si="6"/>
        <v>-3.0881394108233096E-2</v>
      </c>
      <c r="K37" s="146">
        <v>15147</v>
      </c>
      <c r="L37" s="147">
        <f t="shared" si="6"/>
        <v>-7.357798165137619E-2</v>
      </c>
      <c r="M37" s="146">
        <v>20797</v>
      </c>
      <c r="N37" s="147">
        <f t="shared" si="7"/>
        <v>0.37301115732488288</v>
      </c>
    </row>
    <row r="38" spans="2:15" x14ac:dyDescent="0.25">
      <c r="B38" s="145" t="s">
        <v>87</v>
      </c>
      <c r="C38" s="146">
        <v>24732</v>
      </c>
      <c r="D38" s="147">
        <v>-8.7009487245745532E-2</v>
      </c>
      <c r="E38" s="146">
        <v>32710</v>
      </c>
      <c r="F38" s="147">
        <f t="shared" si="6"/>
        <v>0.32257803655183559</v>
      </c>
      <c r="G38" s="146">
        <v>22263</v>
      </c>
      <c r="H38" s="147">
        <f t="shared" si="6"/>
        <v>-0.31938245184958725</v>
      </c>
      <c r="I38" s="146">
        <v>17040</v>
      </c>
      <c r="J38" s="147">
        <f t="shared" si="6"/>
        <v>-0.23460450074114003</v>
      </c>
      <c r="K38" s="146">
        <v>17997</v>
      </c>
      <c r="L38" s="147">
        <f t="shared" si="6"/>
        <v>5.6161971830985813E-2</v>
      </c>
      <c r="M38" s="146">
        <v>22722</v>
      </c>
      <c r="N38" s="147">
        <f t="shared" si="7"/>
        <v>0.26254375729288215</v>
      </c>
    </row>
    <row r="39" spans="2:15" x14ac:dyDescent="0.25">
      <c r="B39" s="145" t="s">
        <v>89</v>
      </c>
      <c r="C39" s="146">
        <v>10533</v>
      </c>
      <c r="D39" s="147">
        <v>-0.5976392390556956</v>
      </c>
      <c r="E39" s="146">
        <v>17671</v>
      </c>
      <c r="F39" s="147">
        <f t="shared" si="6"/>
        <v>0.67767967340738622</v>
      </c>
      <c r="G39" s="146">
        <v>12307</v>
      </c>
      <c r="H39" s="147">
        <f t="shared" si="6"/>
        <v>-0.30354818629392788</v>
      </c>
      <c r="I39" s="146">
        <v>12268</v>
      </c>
      <c r="J39" s="147">
        <f t="shared" si="6"/>
        <v>-3.1689282522141538E-3</v>
      </c>
      <c r="K39" s="146">
        <v>11247</v>
      </c>
      <c r="L39" s="147">
        <f t="shared" si="6"/>
        <v>-8.3224649494620162E-2</v>
      </c>
      <c r="M39" s="146">
        <v>20603</v>
      </c>
      <c r="N39" s="147">
        <f t="shared" si="7"/>
        <v>0.83186627545123137</v>
      </c>
    </row>
    <row r="40" spans="2:15" x14ac:dyDescent="0.25">
      <c r="B40" s="145" t="s">
        <v>91</v>
      </c>
      <c r="C40" s="146">
        <v>9331</v>
      </c>
      <c r="D40" s="147">
        <v>-0.36471949891067534</v>
      </c>
      <c r="E40" s="146">
        <v>13514</v>
      </c>
      <c r="F40" s="147">
        <f t="shared" si="6"/>
        <v>0.44829064408959374</v>
      </c>
      <c r="G40" s="146">
        <v>5869</v>
      </c>
      <c r="H40" s="147">
        <f t="shared" si="6"/>
        <v>-0.56570963445315969</v>
      </c>
      <c r="I40" s="146">
        <v>7638</v>
      </c>
      <c r="J40" s="147">
        <f t="shared" si="6"/>
        <v>0.3014142102572841</v>
      </c>
      <c r="K40" s="146">
        <v>11565</v>
      </c>
      <c r="L40" s="147">
        <f t="shared" si="6"/>
        <v>0.51413982717989004</v>
      </c>
      <c r="M40" s="146"/>
      <c r="N40" s="147"/>
    </row>
    <row r="41" spans="2:15" x14ac:dyDescent="0.25">
      <c r="B41" s="145" t="s">
        <v>93</v>
      </c>
      <c r="C41" s="146">
        <v>6163</v>
      </c>
      <c r="D41" s="147">
        <v>-0.10473561882626381</v>
      </c>
      <c r="E41" s="146">
        <v>4282</v>
      </c>
      <c r="F41" s="147">
        <f t="shared" si="6"/>
        <v>-0.30520850235275032</v>
      </c>
      <c r="G41" s="146">
        <v>3929</v>
      </c>
      <c r="H41" s="147">
        <f t="shared" si="6"/>
        <v>-8.243811303129378E-2</v>
      </c>
      <c r="I41" s="146">
        <v>4428</v>
      </c>
      <c r="J41" s="147">
        <f t="shared" si="6"/>
        <v>0.12700432680071261</v>
      </c>
      <c r="K41" s="146">
        <v>5701</v>
      </c>
      <c r="L41" s="147">
        <f t="shared" si="6"/>
        <v>0.28748870822041561</v>
      </c>
      <c r="M41" s="146"/>
      <c r="N41" s="147"/>
    </row>
    <row r="42" spans="2:15" x14ac:dyDescent="0.25">
      <c r="B42" s="145" t="s">
        <v>95</v>
      </c>
      <c r="C42" s="146">
        <v>4505</v>
      </c>
      <c r="D42" s="147">
        <v>-0.43897882938978827</v>
      </c>
      <c r="E42" s="146">
        <v>6454</v>
      </c>
      <c r="F42" s="147">
        <f t="shared" si="6"/>
        <v>0.43263041065482799</v>
      </c>
      <c r="G42" s="146">
        <v>7585</v>
      </c>
      <c r="H42" s="147">
        <f t="shared" si="6"/>
        <v>0.17524016114037799</v>
      </c>
      <c r="I42" s="146">
        <v>6411</v>
      </c>
      <c r="J42" s="147">
        <f t="shared" si="6"/>
        <v>-0.15477916941331571</v>
      </c>
      <c r="K42" s="146">
        <v>5544</v>
      </c>
      <c r="L42" s="147">
        <f t="shared" si="6"/>
        <v>-0.13523631258773983</v>
      </c>
      <c r="M42" s="146"/>
      <c r="N42" s="147"/>
    </row>
    <row r="43" spans="2:15" ht="15.75" x14ac:dyDescent="0.25">
      <c r="B43" s="148" t="s">
        <v>32</v>
      </c>
      <c r="C43" s="149">
        <v>77176</v>
      </c>
      <c r="D43" s="150">
        <v>-0.59992949934164819</v>
      </c>
      <c r="E43" s="149">
        <v>141993</v>
      </c>
      <c r="F43" s="150">
        <f t="shared" si="6"/>
        <v>0.83985954182647449</v>
      </c>
      <c r="G43" s="149">
        <v>105219</v>
      </c>
      <c r="H43" s="150">
        <f t="shared" si="6"/>
        <v>-0.25898459783228756</v>
      </c>
      <c r="I43" s="149">
        <v>114083</v>
      </c>
      <c r="J43" s="150">
        <f t="shared" si="6"/>
        <v>8.4243340081163964E-2</v>
      </c>
      <c r="K43" s="149">
        <v>103740</v>
      </c>
      <c r="L43" s="150">
        <f t="shared" si="6"/>
        <v>-9.0662061832174845E-2</v>
      </c>
      <c r="M43" s="149">
        <v>99103</v>
      </c>
      <c r="N43" s="150">
        <v>0.2245520820462128</v>
      </c>
    </row>
    <row r="44" spans="2:15" ht="6" customHeight="1" x14ac:dyDescent="0.25"/>
    <row r="45" spans="2:15" x14ac:dyDescent="0.25">
      <c r="B45" s="131" t="s">
        <v>57</v>
      </c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</row>
    <row r="46" spans="2:15" x14ac:dyDescent="0.25">
      <c r="C46" s="151"/>
      <c r="K46" s="151"/>
      <c r="N46" s="103"/>
    </row>
    <row r="48" spans="2:15" ht="48.75" customHeight="1" thickBot="1" x14ac:dyDescent="0.3">
      <c r="B48" s="12" t="s">
        <v>278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" t="s">
        <v>100</v>
      </c>
    </row>
    <row r="49" spans="1:15" ht="10.5" customHeight="1" thickBot="1" x14ac:dyDescent="0.3">
      <c r="B49" s="132"/>
      <c r="C49" s="133"/>
      <c r="D49" s="132"/>
      <c r="E49" s="132"/>
      <c r="F49" s="132"/>
      <c r="G49" s="132"/>
      <c r="H49" s="132"/>
      <c r="I49" s="132"/>
      <c r="J49" s="132"/>
      <c r="K49" s="132"/>
      <c r="L49" s="132"/>
      <c r="M49" s="4"/>
      <c r="N49" s="4"/>
      <c r="O49" s="1" t="s">
        <v>101</v>
      </c>
    </row>
    <row r="50" spans="1:15" ht="22.5" thickTop="1" thickBot="1" x14ac:dyDescent="0.3">
      <c r="B50" s="137"/>
      <c r="C50" s="135" t="s">
        <v>102</v>
      </c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</row>
    <row r="51" spans="1:15" ht="22.5" thickTop="1" thickBot="1" x14ac:dyDescent="0.3">
      <c r="B51" s="137"/>
      <c r="C51" s="138">
        <f>$C$7</f>
        <v>2020</v>
      </c>
      <c r="D51" s="139"/>
      <c r="E51" s="140">
        <f>$E$7</f>
        <v>2021</v>
      </c>
      <c r="F51" s="139"/>
      <c r="G51" s="140">
        <f>$G$7</f>
        <v>2022</v>
      </c>
      <c r="H51" s="139"/>
      <c r="I51" s="140">
        <f>$I$7</f>
        <v>2023</v>
      </c>
      <c r="J51" s="139"/>
      <c r="K51" s="140">
        <f>$K$7</f>
        <v>2024</v>
      </c>
      <c r="L51" s="139"/>
      <c r="M51" s="140">
        <f>$M$7</f>
        <v>2025</v>
      </c>
      <c r="N51" s="141"/>
    </row>
    <row r="52" spans="1:15" ht="16.5" thickTop="1" thickBot="1" x14ac:dyDescent="0.3">
      <c r="B52" s="109"/>
      <c r="C52" s="142" t="s">
        <v>71</v>
      </c>
      <c r="D52" s="143" t="str">
        <f>CONCATENATE("var. ",RIGHT(C51,2),"/",RIGHT(C51-1,2))</f>
        <v>var. 20/19</v>
      </c>
      <c r="E52" s="144" t="s">
        <v>71</v>
      </c>
      <c r="F52" s="143" t="s">
        <v>251</v>
      </c>
      <c r="G52" s="144" t="s">
        <v>71</v>
      </c>
      <c r="H52" s="143" t="s">
        <v>251</v>
      </c>
      <c r="I52" s="144" t="s">
        <v>71</v>
      </c>
      <c r="J52" s="143" t="s">
        <v>251</v>
      </c>
      <c r="K52" s="144" t="s">
        <v>71</v>
      </c>
      <c r="L52" s="143" t="s">
        <v>251</v>
      </c>
      <c r="M52" s="144" t="s">
        <v>71</v>
      </c>
      <c r="N52" s="143" t="s">
        <v>277</v>
      </c>
    </row>
    <row r="53" spans="1:15" x14ac:dyDescent="0.25">
      <c r="A53" s="1">
        <v>1</v>
      </c>
      <c r="B53" s="145" t="s">
        <v>73</v>
      </c>
      <c r="C53" s="146">
        <v>1602</v>
      </c>
      <c r="D53" s="147">
        <v>-0.50949173300673611</v>
      </c>
      <c r="E53" s="146">
        <v>2468</v>
      </c>
      <c r="F53" s="147">
        <f>IFERROR(E53/C53-1,"-")</f>
        <v>0.54057428214731584</v>
      </c>
      <c r="G53" s="146">
        <v>2953</v>
      </c>
      <c r="H53" s="147">
        <f>IFERROR(G53/E53-1,"-")</f>
        <v>0.19651539708265808</v>
      </c>
      <c r="I53" s="146">
        <v>3641</v>
      </c>
      <c r="J53" s="147">
        <f>IFERROR(I53/G53-1,"-")</f>
        <v>0.2329834067050458</v>
      </c>
      <c r="K53" s="146">
        <v>2676</v>
      </c>
      <c r="L53" s="147">
        <f>IFERROR(K53/I53-1,"-")</f>
        <v>-0.26503707772589946</v>
      </c>
      <c r="M53" s="146">
        <v>3585</v>
      </c>
      <c r="N53" s="147">
        <f t="shared" ref="N53:N61" si="8">IFERROR(M53/K53-1,"-")</f>
        <v>0.33968609865470856</v>
      </c>
    </row>
    <row r="54" spans="1:15" x14ac:dyDescent="0.25">
      <c r="A54" s="1">
        <v>2</v>
      </c>
      <c r="B54" s="145" t="s">
        <v>75</v>
      </c>
      <c r="C54" s="146">
        <v>1729</v>
      </c>
      <c r="D54" s="147">
        <v>-0.27807933194154488</v>
      </c>
      <c r="E54" s="146">
        <v>1016</v>
      </c>
      <c r="F54" s="147">
        <f t="shared" ref="F54:L65" si="9">IFERROR(E54/C54-1,"-")</f>
        <v>-0.41237709658762289</v>
      </c>
      <c r="G54" s="146">
        <v>2193</v>
      </c>
      <c r="H54" s="147">
        <f t="shared" si="9"/>
        <v>1.1584645669291338</v>
      </c>
      <c r="I54" s="146">
        <v>2303</v>
      </c>
      <c r="J54" s="147">
        <f t="shared" si="9"/>
        <v>5.0159598723210186E-2</v>
      </c>
      <c r="K54" s="146">
        <v>1677</v>
      </c>
      <c r="L54" s="147">
        <f t="shared" si="9"/>
        <v>-0.27181936604429002</v>
      </c>
      <c r="M54" s="146">
        <v>1820</v>
      </c>
      <c r="N54" s="147">
        <f t="shared" si="8"/>
        <v>8.5271317829457294E-2</v>
      </c>
    </row>
    <row r="55" spans="1:15" x14ac:dyDescent="0.25">
      <c r="A55" s="1">
        <v>3</v>
      </c>
      <c r="B55" s="145" t="s">
        <v>77</v>
      </c>
      <c r="C55" s="146">
        <v>789</v>
      </c>
      <c r="D55" s="147">
        <v>-0.83191308052833401</v>
      </c>
      <c r="E55" s="146">
        <v>1370</v>
      </c>
      <c r="F55" s="147">
        <f t="shared" si="9"/>
        <v>0.73637515842839041</v>
      </c>
      <c r="G55" s="146">
        <v>2613</v>
      </c>
      <c r="H55" s="147">
        <f t="shared" si="9"/>
        <v>0.90729927007299271</v>
      </c>
      <c r="I55" s="146">
        <v>3123</v>
      </c>
      <c r="J55" s="147">
        <f t="shared" si="9"/>
        <v>0.19517795637198621</v>
      </c>
      <c r="K55" s="146">
        <v>3345</v>
      </c>
      <c r="L55" s="147">
        <f t="shared" si="9"/>
        <v>7.1085494716618625E-2</v>
      </c>
      <c r="M55" s="146">
        <v>2781</v>
      </c>
      <c r="N55" s="147">
        <f t="shared" si="8"/>
        <v>-0.16860986547085199</v>
      </c>
    </row>
    <row r="56" spans="1:15" x14ac:dyDescent="0.25">
      <c r="A56" s="1">
        <v>4</v>
      </c>
      <c r="B56" s="145" t="s">
        <v>79</v>
      </c>
      <c r="C56" s="146">
        <v>0</v>
      </c>
      <c r="D56" s="147">
        <v>-1</v>
      </c>
      <c r="E56" s="146">
        <v>1625</v>
      </c>
      <c r="F56" s="147" t="str">
        <f t="shared" si="9"/>
        <v>-</v>
      </c>
      <c r="G56" s="146">
        <v>2610</v>
      </c>
      <c r="H56" s="147">
        <f t="shared" si="9"/>
        <v>0.60615384615384604</v>
      </c>
      <c r="I56" s="146">
        <v>3426</v>
      </c>
      <c r="J56" s="147">
        <f t="shared" si="9"/>
        <v>0.31264367816091965</v>
      </c>
      <c r="K56" s="146">
        <v>2702</v>
      </c>
      <c r="L56" s="147">
        <f t="shared" si="9"/>
        <v>-0.21132516053706951</v>
      </c>
      <c r="M56" s="146">
        <v>5202</v>
      </c>
      <c r="N56" s="147">
        <f t="shared" si="8"/>
        <v>0.92524056254626208</v>
      </c>
    </row>
    <row r="57" spans="1:15" x14ac:dyDescent="0.25">
      <c r="A57" s="1">
        <v>5</v>
      </c>
      <c r="B57" s="145" t="s">
        <v>81</v>
      </c>
      <c r="C57" s="146">
        <v>0</v>
      </c>
      <c r="D57" s="147">
        <v>-1</v>
      </c>
      <c r="E57" s="146">
        <v>2518</v>
      </c>
      <c r="F57" s="147" t="str">
        <f t="shared" si="9"/>
        <v>-</v>
      </c>
      <c r="G57" s="146">
        <v>2461</v>
      </c>
      <c r="H57" s="147">
        <f t="shared" si="9"/>
        <v>-2.2637013502780023E-2</v>
      </c>
      <c r="I57" s="146">
        <v>3361</v>
      </c>
      <c r="J57" s="147">
        <f t="shared" si="9"/>
        <v>0.36570499796830558</v>
      </c>
      <c r="K57" s="146">
        <v>3660</v>
      </c>
      <c r="L57" s="147">
        <f t="shared" si="9"/>
        <v>8.8961618565903011E-2</v>
      </c>
      <c r="M57" s="146">
        <v>4562</v>
      </c>
      <c r="N57" s="147">
        <f t="shared" si="8"/>
        <v>0.24644808743169389</v>
      </c>
    </row>
    <row r="58" spans="1:15" x14ac:dyDescent="0.25">
      <c r="A58" s="1">
        <v>6</v>
      </c>
      <c r="B58" s="145" t="s">
        <v>83</v>
      </c>
      <c r="C58" s="146">
        <v>0</v>
      </c>
      <c r="D58" s="147">
        <v>-1</v>
      </c>
      <c r="E58" s="146">
        <v>3706</v>
      </c>
      <c r="F58" s="147" t="str">
        <f t="shared" si="9"/>
        <v>-</v>
      </c>
      <c r="G58" s="146">
        <v>4006</v>
      </c>
      <c r="H58" s="147">
        <f t="shared" si="9"/>
        <v>8.0949811117107418E-2</v>
      </c>
      <c r="I58" s="146">
        <v>5560</v>
      </c>
      <c r="J58" s="147">
        <f t="shared" si="9"/>
        <v>0.38791812281577642</v>
      </c>
      <c r="K58" s="146">
        <v>4118</v>
      </c>
      <c r="L58" s="147">
        <f t="shared" si="9"/>
        <v>-0.25935251798561154</v>
      </c>
      <c r="M58" s="146">
        <v>5916</v>
      </c>
      <c r="N58" s="147">
        <f t="shared" si="8"/>
        <v>0.43661971830985924</v>
      </c>
    </row>
    <row r="59" spans="1:15" x14ac:dyDescent="0.25">
      <c r="A59" s="1">
        <v>7</v>
      </c>
      <c r="B59" s="145" t="s">
        <v>85</v>
      </c>
      <c r="C59" s="146">
        <v>0</v>
      </c>
      <c r="D59" s="147">
        <v>-1</v>
      </c>
      <c r="E59" s="146">
        <v>11363</v>
      </c>
      <c r="F59" s="147" t="str">
        <f t="shared" si="9"/>
        <v>-</v>
      </c>
      <c r="G59" s="146">
        <v>8443</v>
      </c>
      <c r="H59" s="147">
        <f t="shared" si="9"/>
        <v>-0.25697439056587168</v>
      </c>
      <c r="I59" s="146">
        <v>8165</v>
      </c>
      <c r="J59" s="147">
        <f t="shared" si="9"/>
        <v>-3.2926684827667918E-2</v>
      </c>
      <c r="K59" s="146">
        <v>7349</v>
      </c>
      <c r="L59" s="147">
        <f t="shared" si="9"/>
        <v>-9.9938763012859755E-2</v>
      </c>
      <c r="M59" s="146">
        <v>8907</v>
      </c>
      <c r="N59" s="147">
        <f t="shared" si="8"/>
        <v>0.21200163287522122</v>
      </c>
    </row>
    <row r="60" spans="1:15" x14ac:dyDescent="0.25">
      <c r="A60" s="1">
        <v>8</v>
      </c>
      <c r="B60" s="145" t="s">
        <v>87</v>
      </c>
      <c r="C60" s="146">
        <v>8054</v>
      </c>
      <c r="D60" s="147">
        <v>-0.4331761559574917</v>
      </c>
      <c r="E60" s="146">
        <v>14616</v>
      </c>
      <c r="F60" s="147">
        <f t="shared" si="9"/>
        <v>0.81475043456667495</v>
      </c>
      <c r="G60" s="146">
        <v>8711</v>
      </c>
      <c r="H60" s="147">
        <f t="shared" si="9"/>
        <v>-0.40400930487137388</v>
      </c>
      <c r="I60" s="146">
        <v>8609</v>
      </c>
      <c r="J60" s="147">
        <f t="shared" si="9"/>
        <v>-1.1709333027207003E-2</v>
      </c>
      <c r="K60" s="146">
        <v>10060</v>
      </c>
      <c r="L60" s="147">
        <f t="shared" si="9"/>
        <v>0.16854454640492511</v>
      </c>
      <c r="M60" s="146">
        <v>11833</v>
      </c>
      <c r="N60" s="147">
        <f t="shared" si="8"/>
        <v>0.17624254473161027</v>
      </c>
    </row>
    <row r="61" spans="1:15" x14ac:dyDescent="0.25">
      <c r="A61" s="1">
        <v>9</v>
      </c>
      <c r="B61" s="145" t="s">
        <v>89</v>
      </c>
      <c r="C61" s="146">
        <v>4755</v>
      </c>
      <c r="D61" s="147">
        <v>-0.72272435710537053</v>
      </c>
      <c r="E61" s="146">
        <v>7423</v>
      </c>
      <c r="F61" s="147">
        <f t="shared" si="9"/>
        <v>0.56109358569926404</v>
      </c>
      <c r="G61" s="146">
        <v>5083</v>
      </c>
      <c r="H61" s="147">
        <f t="shared" si="9"/>
        <v>-0.3152364273204904</v>
      </c>
      <c r="I61" s="146">
        <v>5659</v>
      </c>
      <c r="J61" s="147">
        <f t="shared" si="9"/>
        <v>0.11331890615778084</v>
      </c>
      <c r="K61" s="146">
        <v>6716</v>
      </c>
      <c r="L61" s="147">
        <f t="shared" si="9"/>
        <v>0.18678211698179892</v>
      </c>
      <c r="M61" s="146">
        <v>9450</v>
      </c>
      <c r="N61" s="147">
        <f t="shared" si="8"/>
        <v>0.40708755211435377</v>
      </c>
    </row>
    <row r="62" spans="1:15" x14ac:dyDescent="0.25">
      <c r="A62" s="1">
        <v>10</v>
      </c>
      <c r="B62" s="145" t="s">
        <v>91</v>
      </c>
      <c r="C62" s="146">
        <v>2420</v>
      </c>
      <c r="D62" s="147">
        <v>-0.68990261404407993</v>
      </c>
      <c r="E62" s="146">
        <v>4894</v>
      </c>
      <c r="F62" s="147">
        <f t="shared" si="9"/>
        <v>1.0223140495867771</v>
      </c>
      <c r="G62" s="146">
        <v>2717</v>
      </c>
      <c r="H62" s="147">
        <f t="shared" si="9"/>
        <v>-0.44483040457703316</v>
      </c>
      <c r="I62" s="146">
        <v>3348</v>
      </c>
      <c r="J62" s="147">
        <f t="shared" si="9"/>
        <v>0.2322414427677586</v>
      </c>
      <c r="K62" s="146">
        <v>4738</v>
      </c>
      <c r="L62" s="147">
        <f t="shared" si="9"/>
        <v>0.41517323775388282</v>
      </c>
      <c r="M62" s="146"/>
      <c r="N62" s="147"/>
    </row>
    <row r="63" spans="1:15" x14ac:dyDescent="0.25">
      <c r="A63" s="1">
        <v>11</v>
      </c>
      <c r="B63" s="145" t="s">
        <v>93</v>
      </c>
      <c r="C63" s="146">
        <v>1179</v>
      </c>
      <c r="D63" s="147">
        <v>-0.72896551724137937</v>
      </c>
      <c r="E63" s="146">
        <v>1680</v>
      </c>
      <c r="F63" s="147">
        <f t="shared" si="9"/>
        <v>0.42493638676844792</v>
      </c>
      <c r="G63" s="146">
        <v>2080</v>
      </c>
      <c r="H63" s="147">
        <f t="shared" si="9"/>
        <v>0.23809523809523814</v>
      </c>
      <c r="I63" s="146">
        <v>2681</v>
      </c>
      <c r="J63" s="147">
        <f t="shared" si="9"/>
        <v>0.28894230769230766</v>
      </c>
      <c r="K63" s="146">
        <v>4224</v>
      </c>
      <c r="L63" s="147">
        <f t="shared" si="9"/>
        <v>0.57553151809026493</v>
      </c>
      <c r="M63" s="146"/>
      <c r="N63" s="147"/>
    </row>
    <row r="64" spans="1:15" x14ac:dyDescent="0.25">
      <c r="A64" s="1">
        <v>12</v>
      </c>
      <c r="B64" s="145" t="s">
        <v>95</v>
      </c>
      <c r="C64" s="146">
        <v>1230</v>
      </c>
      <c r="D64" s="147">
        <v>-0.78593804385659594</v>
      </c>
      <c r="E64" s="146">
        <v>2877</v>
      </c>
      <c r="F64" s="147">
        <f t="shared" si="9"/>
        <v>1.3390243902439023</v>
      </c>
      <c r="G64" s="146">
        <v>3803</v>
      </c>
      <c r="H64" s="147">
        <f t="shared" si="9"/>
        <v>0.32186305179005914</v>
      </c>
      <c r="I64" s="146">
        <v>4117</v>
      </c>
      <c r="J64" s="147">
        <f t="shared" si="9"/>
        <v>8.2566394951354205E-2</v>
      </c>
      <c r="K64" s="146">
        <v>4590</v>
      </c>
      <c r="L64" s="147">
        <f t="shared" si="9"/>
        <v>0.11488948263298515</v>
      </c>
      <c r="M64" s="146"/>
      <c r="N64" s="147"/>
    </row>
    <row r="65" spans="1:15" ht="15.75" x14ac:dyDescent="0.25">
      <c r="B65" s="148" t="s">
        <v>32</v>
      </c>
      <c r="C65" s="149">
        <v>26118</v>
      </c>
      <c r="D65" s="150">
        <v>-0.73370174758865392</v>
      </c>
      <c r="E65" s="149">
        <v>55556</v>
      </c>
      <c r="F65" s="150">
        <f t="shared" si="9"/>
        <v>1.1271153993414504</v>
      </c>
      <c r="G65" s="149">
        <v>47673</v>
      </c>
      <c r="H65" s="150">
        <f t="shared" si="9"/>
        <v>-0.14189286485708119</v>
      </c>
      <c r="I65" s="149">
        <v>53993</v>
      </c>
      <c r="J65" s="150">
        <f t="shared" si="9"/>
        <v>0.132569798418392</v>
      </c>
      <c r="K65" s="149">
        <v>55855</v>
      </c>
      <c r="L65" s="150">
        <f t="shared" si="9"/>
        <v>3.4485951882651467E-2</v>
      </c>
      <c r="M65" s="149">
        <v>54056</v>
      </c>
      <c r="N65" s="150">
        <v>0.27782899557950969</v>
      </c>
    </row>
    <row r="66" spans="1:15" ht="6" customHeight="1" x14ac:dyDescent="0.25"/>
    <row r="67" spans="1:15" x14ac:dyDescent="0.25">
      <c r="B67" s="131" t="s">
        <v>57</v>
      </c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</row>
    <row r="68" spans="1:15" x14ac:dyDescent="0.25">
      <c r="C68" s="151"/>
      <c r="K68" s="151"/>
      <c r="N68" s="103"/>
    </row>
    <row r="70" spans="1:15" ht="48.75" customHeight="1" thickBot="1" x14ac:dyDescent="0.3">
      <c r="B70" s="12" t="s">
        <v>279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" t="s">
        <v>103</v>
      </c>
    </row>
    <row r="71" spans="1:15" ht="10.5" customHeight="1" thickBot="1" x14ac:dyDescent="0.3">
      <c r="B71" s="132"/>
      <c r="C71" s="133"/>
      <c r="D71" s="132"/>
      <c r="E71" s="132"/>
      <c r="F71" s="132"/>
      <c r="G71" s="132"/>
      <c r="H71" s="132"/>
      <c r="I71" s="132"/>
      <c r="J71" s="132"/>
      <c r="K71" s="132"/>
      <c r="L71" s="132"/>
      <c r="M71" s="4"/>
      <c r="N71" s="4"/>
      <c r="O71" s="1" t="s">
        <v>104</v>
      </c>
    </row>
    <row r="72" spans="1:15" ht="22.5" thickTop="1" thickBot="1" x14ac:dyDescent="0.3">
      <c r="B72" s="137"/>
      <c r="C72" s="135" t="s">
        <v>105</v>
      </c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</row>
    <row r="73" spans="1:15" ht="22.5" thickTop="1" thickBot="1" x14ac:dyDescent="0.3">
      <c r="B73" s="137"/>
      <c r="C73" s="138">
        <f>$C$7</f>
        <v>2020</v>
      </c>
      <c r="D73" s="139"/>
      <c r="E73" s="140">
        <f>$E$7</f>
        <v>2021</v>
      </c>
      <c r="F73" s="139"/>
      <c r="G73" s="140">
        <f>$G$7</f>
        <v>2022</v>
      </c>
      <c r="H73" s="139"/>
      <c r="I73" s="140">
        <f>$I$7</f>
        <v>2023</v>
      </c>
      <c r="J73" s="139"/>
      <c r="K73" s="140">
        <f>$K$7</f>
        <v>2024</v>
      </c>
      <c r="L73" s="139"/>
      <c r="M73" s="140">
        <f>$M$7</f>
        <v>2025</v>
      </c>
      <c r="N73" s="141"/>
    </row>
    <row r="74" spans="1:15" ht="16.5" thickTop="1" thickBot="1" x14ac:dyDescent="0.3">
      <c r="B74" s="109"/>
      <c r="C74" s="142" t="s">
        <v>71</v>
      </c>
      <c r="D74" s="143" t="str">
        <f>CONCATENATE("var. ",RIGHT(C73,2),"/",RIGHT(C73-1,2))</f>
        <v>var. 20/19</v>
      </c>
      <c r="E74" s="144" t="s">
        <v>71</v>
      </c>
      <c r="F74" s="143" t="s">
        <v>251</v>
      </c>
      <c r="G74" s="144" t="s">
        <v>71</v>
      </c>
      <c r="H74" s="143" t="s">
        <v>251</v>
      </c>
      <c r="I74" s="144" t="s">
        <v>71</v>
      </c>
      <c r="J74" s="143" t="s">
        <v>251</v>
      </c>
      <c r="K74" s="144" t="s">
        <v>71</v>
      </c>
      <c r="L74" s="143" t="s">
        <v>251</v>
      </c>
      <c r="M74" s="144" t="s">
        <v>71</v>
      </c>
      <c r="N74" s="143" t="s">
        <v>277</v>
      </c>
    </row>
    <row r="75" spans="1:15" x14ac:dyDescent="0.25">
      <c r="A75" s="1">
        <v>1</v>
      </c>
      <c r="B75" s="145" t="s">
        <v>73</v>
      </c>
      <c r="C75" s="146">
        <v>1208</v>
      </c>
      <c r="D75" s="147">
        <v>-0.73339218715515342</v>
      </c>
      <c r="E75" s="146">
        <v>5465</v>
      </c>
      <c r="F75" s="147">
        <f>IFERROR(E75/C75-1,"-")</f>
        <v>3.5240066225165565</v>
      </c>
      <c r="G75" s="146">
        <v>1306</v>
      </c>
      <c r="H75" s="147">
        <f>IFERROR(G75/E75-1,"-")</f>
        <v>-0.76102470265324795</v>
      </c>
      <c r="I75" s="146">
        <v>4043</v>
      </c>
      <c r="J75" s="147">
        <f>IFERROR(I75/G75-1,"-")</f>
        <v>2.0957120980091886</v>
      </c>
      <c r="K75" s="146">
        <v>1967</v>
      </c>
      <c r="L75" s="147">
        <f>IFERROR(K75/I75-1,"-")</f>
        <v>-0.51348008904278997</v>
      </c>
      <c r="M75" s="146">
        <v>605</v>
      </c>
      <c r="N75" s="147">
        <f t="shared" ref="N75:N83" si="10">IFERROR(M75/K75-1,"-")</f>
        <v>-0.69242501270971024</v>
      </c>
    </row>
    <row r="76" spans="1:15" x14ac:dyDescent="0.25">
      <c r="A76" s="1">
        <v>2</v>
      </c>
      <c r="B76" s="145" t="s">
        <v>75</v>
      </c>
      <c r="C76" s="146">
        <v>2752</v>
      </c>
      <c r="D76" s="147">
        <v>-0.21884757309111558</v>
      </c>
      <c r="E76" s="146">
        <v>5161</v>
      </c>
      <c r="F76" s="147">
        <f t="shared" ref="F76:L87" si="11">IFERROR(E76/C76-1,"-")</f>
        <v>0.87536337209302317</v>
      </c>
      <c r="G76" s="146">
        <v>1879</v>
      </c>
      <c r="H76" s="147">
        <f t="shared" si="11"/>
        <v>-0.63592327068397592</v>
      </c>
      <c r="I76" s="146">
        <v>2328</v>
      </c>
      <c r="J76" s="147">
        <f t="shared" si="11"/>
        <v>0.23895689196381054</v>
      </c>
      <c r="K76" s="146">
        <v>1682</v>
      </c>
      <c r="L76" s="147">
        <f t="shared" si="11"/>
        <v>-0.27749140893470792</v>
      </c>
      <c r="M76" s="146">
        <v>674</v>
      </c>
      <c r="N76" s="147">
        <f t="shared" si="10"/>
        <v>-0.59928656361474442</v>
      </c>
    </row>
    <row r="77" spans="1:15" x14ac:dyDescent="0.25">
      <c r="A77" s="1">
        <v>3</v>
      </c>
      <c r="B77" s="145" t="s">
        <v>77</v>
      </c>
      <c r="C77" s="146">
        <v>1072</v>
      </c>
      <c r="D77" s="147">
        <v>-0.89858088930936608</v>
      </c>
      <c r="E77" s="146">
        <v>5611</v>
      </c>
      <c r="F77" s="147">
        <f t="shared" si="11"/>
        <v>4.2341417910447765</v>
      </c>
      <c r="G77" s="146">
        <v>2145</v>
      </c>
      <c r="H77" s="147">
        <f t="shared" si="11"/>
        <v>-0.61771520228123333</v>
      </c>
      <c r="I77" s="146">
        <v>3322</v>
      </c>
      <c r="J77" s="147">
        <f t="shared" si="11"/>
        <v>0.54871794871794877</v>
      </c>
      <c r="K77" s="146">
        <v>3987</v>
      </c>
      <c r="L77" s="147">
        <f t="shared" si="11"/>
        <v>0.20018061408789878</v>
      </c>
      <c r="M77" s="146">
        <v>693</v>
      </c>
      <c r="N77" s="147">
        <f t="shared" si="10"/>
        <v>-0.82618510158013547</v>
      </c>
    </row>
    <row r="78" spans="1:15" x14ac:dyDescent="0.25">
      <c r="A78" s="1">
        <v>4</v>
      </c>
      <c r="B78" s="145" t="s">
        <v>79</v>
      </c>
      <c r="C78" s="146">
        <v>0</v>
      </c>
      <c r="D78" s="147">
        <v>-1</v>
      </c>
      <c r="E78" s="146">
        <v>8725</v>
      </c>
      <c r="F78" s="147" t="str">
        <f t="shared" si="11"/>
        <v>-</v>
      </c>
      <c r="G78" s="146">
        <v>5975</v>
      </c>
      <c r="H78" s="147">
        <f t="shared" si="11"/>
        <v>-0.31518624641833815</v>
      </c>
      <c r="I78" s="146">
        <v>7930</v>
      </c>
      <c r="J78" s="147">
        <f t="shared" si="11"/>
        <v>0.32719665271966525</v>
      </c>
      <c r="K78" s="146">
        <v>2539</v>
      </c>
      <c r="L78" s="147">
        <f t="shared" si="11"/>
        <v>-0.67982345523329135</v>
      </c>
      <c r="M78" s="146">
        <v>3099</v>
      </c>
      <c r="N78" s="147">
        <f t="shared" si="10"/>
        <v>0.22055927530523833</v>
      </c>
    </row>
    <row r="79" spans="1:15" x14ac:dyDescent="0.25">
      <c r="A79" s="1">
        <v>5</v>
      </c>
      <c r="B79" s="145" t="s">
        <v>81</v>
      </c>
      <c r="C79" s="146">
        <v>0</v>
      </c>
      <c r="D79" s="147">
        <v>-1</v>
      </c>
      <c r="E79" s="146">
        <v>7870</v>
      </c>
      <c r="F79" s="147" t="str">
        <f t="shared" si="11"/>
        <v>-</v>
      </c>
      <c r="G79" s="146">
        <v>5049</v>
      </c>
      <c r="H79" s="147">
        <f t="shared" si="11"/>
        <v>-0.35844980940279547</v>
      </c>
      <c r="I79" s="146">
        <v>4755</v>
      </c>
      <c r="J79" s="147">
        <f t="shared" si="11"/>
        <v>-5.8229352346999441E-2</v>
      </c>
      <c r="K79" s="146">
        <v>2991</v>
      </c>
      <c r="L79" s="147">
        <f t="shared" si="11"/>
        <v>-0.3709779179810726</v>
      </c>
      <c r="M79" s="146">
        <v>2488</v>
      </c>
      <c r="N79" s="147">
        <f t="shared" si="10"/>
        <v>-0.1681711802072885</v>
      </c>
    </row>
    <row r="80" spans="1:15" x14ac:dyDescent="0.25">
      <c r="A80" s="1">
        <v>6</v>
      </c>
      <c r="B80" s="145" t="s">
        <v>83</v>
      </c>
      <c r="C80" s="146">
        <v>0</v>
      </c>
      <c r="D80" s="147">
        <v>-1</v>
      </c>
      <c r="E80" s="146">
        <v>3492</v>
      </c>
      <c r="F80" s="147" t="str">
        <f t="shared" si="11"/>
        <v>-</v>
      </c>
      <c r="G80" s="146">
        <v>3205</v>
      </c>
      <c r="H80" s="147">
        <f t="shared" si="11"/>
        <v>-8.2187857961053878E-2</v>
      </c>
      <c r="I80" s="146">
        <v>6156</v>
      </c>
      <c r="J80" s="147">
        <f t="shared" si="11"/>
        <v>0.92074882995319807</v>
      </c>
      <c r="K80" s="146">
        <v>5195</v>
      </c>
      <c r="L80" s="147">
        <f t="shared" si="11"/>
        <v>-0.15610786224821316</v>
      </c>
      <c r="M80" s="146">
        <v>3556</v>
      </c>
      <c r="N80" s="147">
        <f t="shared" si="10"/>
        <v>-0.31549566891241576</v>
      </c>
    </row>
    <row r="81" spans="1:15" x14ac:dyDescent="0.25">
      <c r="A81" s="1">
        <v>7</v>
      </c>
      <c r="B81" s="145" t="s">
        <v>85</v>
      </c>
      <c r="C81" s="146">
        <v>0</v>
      </c>
      <c r="D81" s="147">
        <v>-1</v>
      </c>
      <c r="E81" s="146">
        <v>6972</v>
      </c>
      <c r="F81" s="147" t="str">
        <f t="shared" si="11"/>
        <v>-</v>
      </c>
      <c r="G81" s="146">
        <v>8428</v>
      </c>
      <c r="H81" s="147">
        <f t="shared" si="11"/>
        <v>0.20883534136546178</v>
      </c>
      <c r="I81" s="146">
        <v>8185</v>
      </c>
      <c r="J81" s="147">
        <f t="shared" si="11"/>
        <v>-2.8832463217845272E-2</v>
      </c>
      <c r="K81" s="146">
        <v>7798</v>
      </c>
      <c r="L81" s="147">
        <f t="shared" si="11"/>
        <v>-4.7281612706169818E-2</v>
      </c>
      <c r="M81" s="146">
        <v>11890</v>
      </c>
      <c r="N81" s="147">
        <f t="shared" si="10"/>
        <v>0.52474993588099506</v>
      </c>
    </row>
    <row r="82" spans="1:15" x14ac:dyDescent="0.25">
      <c r="A82" s="1">
        <v>8</v>
      </c>
      <c r="B82" s="145" t="s">
        <v>87</v>
      </c>
      <c r="C82" s="146">
        <v>16678</v>
      </c>
      <c r="D82" s="147">
        <v>0.29487577639751561</v>
      </c>
      <c r="E82" s="146">
        <v>18094</v>
      </c>
      <c r="F82" s="147">
        <f t="shared" si="11"/>
        <v>8.490226645880794E-2</v>
      </c>
      <c r="G82" s="146">
        <v>13552</v>
      </c>
      <c r="H82" s="147">
        <f t="shared" si="11"/>
        <v>-0.25102243837736271</v>
      </c>
      <c r="I82" s="146">
        <v>8431</v>
      </c>
      <c r="J82" s="147">
        <f t="shared" si="11"/>
        <v>-0.3778778040141676</v>
      </c>
      <c r="K82" s="146">
        <v>7937</v>
      </c>
      <c r="L82" s="147">
        <f t="shared" si="11"/>
        <v>-5.8593286680109102E-2</v>
      </c>
      <c r="M82" s="146">
        <v>10889</v>
      </c>
      <c r="N82" s="147">
        <f t="shared" si="10"/>
        <v>0.37192894040569491</v>
      </c>
    </row>
    <row r="83" spans="1:15" x14ac:dyDescent="0.25">
      <c r="A83" s="1">
        <v>9</v>
      </c>
      <c r="B83" s="145" t="s">
        <v>89</v>
      </c>
      <c r="C83" s="146">
        <v>5778</v>
      </c>
      <c r="D83" s="147">
        <v>-0.36006202237235574</v>
      </c>
      <c r="E83" s="146">
        <v>10248</v>
      </c>
      <c r="F83" s="147">
        <f t="shared" si="11"/>
        <v>0.77362409138110078</v>
      </c>
      <c r="G83" s="146">
        <v>7224</v>
      </c>
      <c r="H83" s="147">
        <f t="shared" si="11"/>
        <v>-0.29508196721311475</v>
      </c>
      <c r="I83" s="146">
        <v>6609</v>
      </c>
      <c r="J83" s="147">
        <f t="shared" si="11"/>
        <v>-8.5132890365448466E-2</v>
      </c>
      <c r="K83" s="146">
        <v>4531</v>
      </c>
      <c r="L83" s="147">
        <f t="shared" si="11"/>
        <v>-0.31441973067029805</v>
      </c>
      <c r="M83" s="146">
        <v>11153</v>
      </c>
      <c r="N83" s="147">
        <f t="shared" si="10"/>
        <v>1.4614875303465018</v>
      </c>
    </row>
    <row r="84" spans="1:15" x14ac:dyDescent="0.25">
      <c r="A84" s="1">
        <v>10</v>
      </c>
      <c r="B84" s="145" t="s">
        <v>91</v>
      </c>
      <c r="C84" s="146">
        <v>6911</v>
      </c>
      <c r="D84" s="147">
        <v>3.9221382916909686E-3</v>
      </c>
      <c r="E84" s="146">
        <v>8620</v>
      </c>
      <c r="F84" s="147">
        <f t="shared" si="11"/>
        <v>0.24728693387353484</v>
      </c>
      <c r="G84" s="146">
        <v>3152</v>
      </c>
      <c r="H84" s="147">
        <f t="shared" si="11"/>
        <v>-0.63433874709976801</v>
      </c>
      <c r="I84" s="146">
        <v>4290</v>
      </c>
      <c r="J84" s="147">
        <f t="shared" si="11"/>
        <v>0.36104060913705593</v>
      </c>
      <c r="K84" s="146">
        <v>6827</v>
      </c>
      <c r="L84" s="147">
        <f t="shared" si="11"/>
        <v>0.59137529137529143</v>
      </c>
      <c r="M84" s="146"/>
      <c r="N84" s="147"/>
    </row>
    <row r="85" spans="1:15" x14ac:dyDescent="0.25">
      <c r="A85" s="1">
        <v>11</v>
      </c>
      <c r="B85" s="145" t="s">
        <v>93</v>
      </c>
      <c r="C85" s="146">
        <v>4984</v>
      </c>
      <c r="D85" s="147">
        <v>0.96685082872928185</v>
      </c>
      <c r="E85" s="146">
        <v>2602</v>
      </c>
      <c r="F85" s="147">
        <f t="shared" si="11"/>
        <v>-0.4779293739967897</v>
      </c>
      <c r="G85" s="146">
        <v>1849</v>
      </c>
      <c r="H85" s="147">
        <f t="shared" si="11"/>
        <v>-0.28939277478862413</v>
      </c>
      <c r="I85" s="146">
        <v>1747</v>
      </c>
      <c r="J85" s="147">
        <f t="shared" si="11"/>
        <v>-5.516495402920496E-2</v>
      </c>
      <c r="K85" s="146">
        <v>1477</v>
      </c>
      <c r="L85" s="147">
        <f t="shared" si="11"/>
        <v>-0.15455065827132231</v>
      </c>
      <c r="M85" s="146"/>
      <c r="N85" s="147"/>
    </row>
    <row r="86" spans="1:15" x14ac:dyDescent="0.25">
      <c r="A86" s="1">
        <v>12</v>
      </c>
      <c r="B86" s="145" t="s">
        <v>95</v>
      </c>
      <c r="C86" s="146">
        <v>3275</v>
      </c>
      <c r="D86" s="147">
        <v>0.43388791593695264</v>
      </c>
      <c r="E86" s="146">
        <v>3577</v>
      </c>
      <c r="F86" s="147">
        <f t="shared" si="11"/>
        <v>9.2213740458015225E-2</v>
      </c>
      <c r="G86" s="146">
        <v>3782</v>
      </c>
      <c r="H86" s="147">
        <f t="shared" si="11"/>
        <v>5.7310595471065096E-2</v>
      </c>
      <c r="I86" s="146">
        <v>2294</v>
      </c>
      <c r="J86" s="147">
        <f t="shared" si="11"/>
        <v>-0.39344262295081966</v>
      </c>
      <c r="K86" s="146">
        <v>954</v>
      </c>
      <c r="L86" s="147">
        <f t="shared" si="11"/>
        <v>-0.58413251961639057</v>
      </c>
      <c r="M86" s="146"/>
      <c r="N86" s="147"/>
    </row>
    <row r="87" spans="1:15" ht="15.75" x14ac:dyDescent="0.25">
      <c r="B87" s="148" t="s">
        <v>32</v>
      </c>
      <c r="C87" s="149">
        <v>51058</v>
      </c>
      <c r="D87" s="150">
        <v>-0.46157253131986331</v>
      </c>
      <c r="E87" s="149">
        <v>86437</v>
      </c>
      <c r="F87" s="150">
        <f t="shared" si="11"/>
        <v>0.69291785812213558</v>
      </c>
      <c r="G87" s="149">
        <v>57546</v>
      </c>
      <c r="H87" s="150">
        <f t="shared" si="11"/>
        <v>-0.33424343741684692</v>
      </c>
      <c r="I87" s="149">
        <v>60090</v>
      </c>
      <c r="J87" s="150">
        <f t="shared" si="11"/>
        <v>4.4208111771452341E-2</v>
      </c>
      <c r="K87" s="149">
        <v>47885</v>
      </c>
      <c r="L87" s="150">
        <f t="shared" si="11"/>
        <v>-0.2031119986686637</v>
      </c>
      <c r="M87" s="149">
        <v>45047</v>
      </c>
      <c r="N87" s="150">
        <v>0.16620498614958445</v>
      </c>
    </row>
    <row r="88" spans="1:15" ht="6" customHeight="1" x14ac:dyDescent="0.25"/>
    <row r="89" spans="1:15" x14ac:dyDescent="0.25">
      <c r="B89" s="131" t="s">
        <v>57</v>
      </c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</row>
    <row r="90" spans="1:15" x14ac:dyDescent="0.25">
      <c r="C90" s="151"/>
      <c r="K90" s="151"/>
      <c r="N90" s="103"/>
    </row>
    <row r="92" spans="1:15" ht="48.75" customHeight="1" thickBot="1" x14ac:dyDescent="0.3">
      <c r="B92" s="12" t="s">
        <v>280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" t="s">
        <v>106</v>
      </c>
    </row>
    <row r="93" spans="1:15" ht="10.5" customHeight="1" thickBot="1" x14ac:dyDescent="0.3">
      <c r="B93" s="132"/>
      <c r="C93" s="133"/>
      <c r="D93" s="132"/>
      <c r="E93" s="132"/>
      <c r="F93" s="132"/>
      <c r="G93" s="132"/>
      <c r="H93" s="132"/>
      <c r="I93" s="132"/>
      <c r="J93" s="132"/>
      <c r="K93" s="132"/>
      <c r="L93" s="132"/>
      <c r="M93" s="4"/>
      <c r="N93" s="4"/>
      <c r="O93" s="1" t="s">
        <v>107</v>
      </c>
    </row>
    <row r="94" spans="1:15" ht="22.5" thickTop="1" thickBot="1" x14ac:dyDescent="0.3">
      <c r="B94" s="152" t="s">
        <v>108</v>
      </c>
      <c r="C94" s="135" t="s">
        <v>109</v>
      </c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</row>
    <row r="95" spans="1:15" ht="22.5" thickTop="1" thickBot="1" x14ac:dyDescent="0.3">
      <c r="B95" s="137"/>
      <c r="C95" s="138">
        <f>$C$7</f>
        <v>2020</v>
      </c>
      <c r="D95" s="139"/>
      <c r="E95" s="140">
        <f>$E$7</f>
        <v>2021</v>
      </c>
      <c r="F95" s="139"/>
      <c r="G95" s="140">
        <f>$G$7</f>
        <v>2022</v>
      </c>
      <c r="H95" s="139"/>
      <c r="I95" s="140">
        <f>$I$7</f>
        <v>2023</v>
      </c>
      <c r="J95" s="139"/>
      <c r="K95" s="140">
        <f>$K$7</f>
        <v>2024</v>
      </c>
      <c r="L95" s="139"/>
      <c r="M95" s="140">
        <f>$M$7</f>
        <v>2025</v>
      </c>
      <c r="N95" s="141"/>
    </row>
    <row r="96" spans="1:15" ht="16.5" thickTop="1" thickBot="1" x14ac:dyDescent="0.3">
      <c r="B96" s="109"/>
      <c r="C96" s="142" t="s">
        <v>71</v>
      </c>
      <c r="D96" s="143" t="str">
        <f>CONCATENATE("var. ",RIGHT(C95,2),"/",RIGHT(C95-1,2))</f>
        <v>var. 20/19</v>
      </c>
      <c r="E96" s="144" t="s">
        <v>71</v>
      </c>
      <c r="F96" s="143" t="s">
        <v>251</v>
      </c>
      <c r="G96" s="144" t="s">
        <v>71</v>
      </c>
      <c r="H96" s="143" t="s">
        <v>251</v>
      </c>
      <c r="I96" s="144" t="s">
        <v>71</v>
      </c>
      <c r="J96" s="143" t="s">
        <v>251</v>
      </c>
      <c r="K96" s="144" t="s">
        <v>71</v>
      </c>
      <c r="L96" s="143" t="s">
        <v>251</v>
      </c>
      <c r="M96" s="144" t="s">
        <v>71</v>
      </c>
      <c r="N96" s="143" t="s">
        <v>277</v>
      </c>
    </row>
    <row r="97" spans="2:14" x14ac:dyDescent="0.25">
      <c r="B97" s="145" t="s">
        <v>73</v>
      </c>
      <c r="C97" s="146">
        <v>154990</v>
      </c>
      <c r="D97" s="147">
        <v>4.3457770895748427E-2</v>
      </c>
      <c r="E97" s="146">
        <v>18536</v>
      </c>
      <c r="F97" s="147">
        <f t="shared" ref="F97:L109" si="12">IFERROR(E97/C97-1,"-")</f>
        <v>-0.88040518743144713</v>
      </c>
      <c r="G97" s="146">
        <v>110611</v>
      </c>
      <c r="H97" s="147">
        <f t="shared" si="12"/>
        <v>4.9673608113940437</v>
      </c>
      <c r="I97" s="146">
        <v>156236</v>
      </c>
      <c r="J97" s="147">
        <f t="shared" si="12"/>
        <v>0.41248157958973342</v>
      </c>
      <c r="K97" s="146">
        <v>168765</v>
      </c>
      <c r="L97" s="147">
        <f t="shared" si="12"/>
        <v>8.0192785273560441E-2</v>
      </c>
      <c r="M97" s="146">
        <v>165754</v>
      </c>
      <c r="N97" s="147">
        <f t="shared" ref="N97:N105" si="13">IFERROR(M97/K97-1,"-")</f>
        <v>-1.7841377062779551E-2</v>
      </c>
    </row>
    <row r="98" spans="2:14" x14ac:dyDescent="0.25">
      <c r="B98" s="145" t="s">
        <v>75</v>
      </c>
      <c r="C98" s="146">
        <v>168403</v>
      </c>
      <c r="D98" s="147">
        <v>0.21233478273389572</v>
      </c>
      <c r="E98" s="146">
        <v>12334</v>
      </c>
      <c r="F98" s="147">
        <f t="shared" si="12"/>
        <v>-0.92675902448293679</v>
      </c>
      <c r="G98" s="146">
        <v>137218</v>
      </c>
      <c r="H98" s="147">
        <f t="shared" si="12"/>
        <v>10.125182422571752</v>
      </c>
      <c r="I98" s="146">
        <v>151743</v>
      </c>
      <c r="J98" s="147">
        <f t="shared" si="12"/>
        <v>0.10585345945867153</v>
      </c>
      <c r="K98" s="146">
        <v>163400</v>
      </c>
      <c r="L98" s="147">
        <f t="shared" si="12"/>
        <v>7.6820677065828402E-2</v>
      </c>
      <c r="M98" s="146">
        <v>165672</v>
      </c>
      <c r="N98" s="147">
        <f t="shared" si="13"/>
        <v>1.3904528763769797E-2</v>
      </c>
    </row>
    <row r="99" spans="2:14" x14ac:dyDescent="0.25">
      <c r="B99" s="145" t="s">
        <v>77</v>
      </c>
      <c r="C99" s="146">
        <v>80146</v>
      </c>
      <c r="D99" s="147">
        <v>-0.42588002693448335</v>
      </c>
      <c r="E99" s="146">
        <v>15162</v>
      </c>
      <c r="F99" s="147">
        <f t="shared" si="12"/>
        <v>-0.81082025303820526</v>
      </c>
      <c r="G99" s="146">
        <v>144147</v>
      </c>
      <c r="H99" s="147">
        <f t="shared" si="12"/>
        <v>8.5071230708349823</v>
      </c>
      <c r="I99" s="146">
        <v>139689</v>
      </c>
      <c r="J99" s="147">
        <f t="shared" si="12"/>
        <v>-3.0926762263522645E-2</v>
      </c>
      <c r="K99" s="146">
        <v>169538</v>
      </c>
      <c r="L99" s="147">
        <f t="shared" si="12"/>
        <v>0.21368182176119799</v>
      </c>
      <c r="M99" s="146">
        <v>162929</v>
      </c>
      <c r="N99" s="147">
        <f t="shared" si="13"/>
        <v>-3.8982411022897567E-2</v>
      </c>
    </row>
    <row r="100" spans="2:14" x14ac:dyDescent="0.25">
      <c r="B100" s="145" t="s">
        <v>79</v>
      </c>
      <c r="C100" s="146">
        <v>0</v>
      </c>
      <c r="D100" s="147">
        <v>-1</v>
      </c>
      <c r="E100" s="146">
        <v>11798</v>
      </c>
      <c r="F100" s="147" t="str">
        <f t="shared" si="12"/>
        <v>-</v>
      </c>
      <c r="G100" s="146">
        <v>143925</v>
      </c>
      <c r="H100" s="147">
        <f t="shared" si="12"/>
        <v>11.199101542634345</v>
      </c>
      <c r="I100" s="146">
        <v>133479</v>
      </c>
      <c r="J100" s="147">
        <f t="shared" si="12"/>
        <v>-7.25794684731631E-2</v>
      </c>
      <c r="K100" s="146">
        <v>149421</v>
      </c>
      <c r="L100" s="147">
        <f t="shared" si="12"/>
        <v>0.11943451778931524</v>
      </c>
      <c r="M100" s="146">
        <v>151843</v>
      </c>
      <c r="N100" s="147">
        <f t="shared" si="13"/>
        <v>1.6209234311107545E-2</v>
      </c>
    </row>
    <row r="101" spans="2:14" x14ac:dyDescent="0.25">
      <c r="B101" s="145" t="s">
        <v>81</v>
      </c>
      <c r="C101" s="146">
        <v>0</v>
      </c>
      <c r="D101" s="147">
        <v>-1</v>
      </c>
      <c r="E101" s="146">
        <v>13708</v>
      </c>
      <c r="F101" s="147" t="str">
        <f t="shared" si="12"/>
        <v>-</v>
      </c>
      <c r="G101" s="146">
        <v>118400</v>
      </c>
      <c r="H101" s="147">
        <f t="shared" si="12"/>
        <v>7.6372920922089289</v>
      </c>
      <c r="I101" s="146">
        <v>132335</v>
      </c>
      <c r="J101" s="147">
        <f t="shared" si="12"/>
        <v>0.11769425675675671</v>
      </c>
      <c r="K101" s="146">
        <v>153273</v>
      </c>
      <c r="L101" s="147">
        <f t="shared" si="12"/>
        <v>0.15821966977745872</v>
      </c>
      <c r="M101" s="146">
        <v>136165</v>
      </c>
      <c r="N101" s="147">
        <f t="shared" si="13"/>
        <v>-0.11161783223398769</v>
      </c>
    </row>
    <row r="102" spans="2:14" x14ac:dyDescent="0.25">
      <c r="B102" s="145" t="s">
        <v>83</v>
      </c>
      <c r="C102" s="146">
        <v>0</v>
      </c>
      <c r="D102" s="147">
        <v>-1</v>
      </c>
      <c r="E102" s="146">
        <v>11596</v>
      </c>
      <c r="F102" s="147" t="str">
        <f t="shared" si="12"/>
        <v>-</v>
      </c>
      <c r="G102" s="146">
        <v>125009</v>
      </c>
      <c r="H102" s="147">
        <f t="shared" si="12"/>
        <v>9.7803552949292865</v>
      </c>
      <c r="I102" s="146">
        <v>130573</v>
      </c>
      <c r="J102" s="147">
        <f t="shared" si="12"/>
        <v>4.4508795366733578E-2</v>
      </c>
      <c r="K102" s="146">
        <v>147800</v>
      </c>
      <c r="L102" s="147">
        <f t="shared" si="12"/>
        <v>0.13193386075222291</v>
      </c>
      <c r="M102" s="146">
        <v>146652</v>
      </c>
      <c r="N102" s="147">
        <f t="shared" si="13"/>
        <v>-7.7672530446549759E-3</v>
      </c>
    </row>
    <row r="103" spans="2:14" x14ac:dyDescent="0.25">
      <c r="B103" s="145" t="s">
        <v>85</v>
      </c>
      <c r="C103" s="146">
        <v>0</v>
      </c>
      <c r="D103" s="147">
        <v>-1</v>
      </c>
      <c r="E103" s="146">
        <v>42751</v>
      </c>
      <c r="F103" s="147" t="str">
        <f t="shared" si="12"/>
        <v>-</v>
      </c>
      <c r="G103" s="146">
        <v>142649</v>
      </c>
      <c r="H103" s="147">
        <f t="shared" si="12"/>
        <v>2.3367406610371688</v>
      </c>
      <c r="I103" s="146">
        <v>150081</v>
      </c>
      <c r="J103" s="147">
        <f t="shared" si="12"/>
        <v>5.2099909568240843E-2</v>
      </c>
      <c r="K103" s="146">
        <v>158620</v>
      </c>
      <c r="L103" s="147">
        <f t="shared" si="12"/>
        <v>5.6895942857523529E-2</v>
      </c>
      <c r="M103" s="146">
        <v>166590</v>
      </c>
      <c r="N103" s="147">
        <f t="shared" si="13"/>
        <v>5.0245870634220147E-2</v>
      </c>
    </row>
    <row r="104" spans="2:14" x14ac:dyDescent="0.25">
      <c r="B104" s="145" t="s">
        <v>87</v>
      </c>
      <c r="C104" s="146">
        <v>35781</v>
      </c>
      <c r="D104" s="147">
        <v>-0.7687983406672223</v>
      </c>
      <c r="E104" s="146">
        <v>62119</v>
      </c>
      <c r="F104" s="147">
        <f t="shared" si="12"/>
        <v>0.73608898577457316</v>
      </c>
      <c r="G104" s="146">
        <v>156262</v>
      </c>
      <c r="H104" s="147">
        <f t="shared" si="12"/>
        <v>1.5155266504612115</v>
      </c>
      <c r="I104" s="146">
        <v>164834</v>
      </c>
      <c r="J104" s="147">
        <f t="shared" si="12"/>
        <v>5.4856587014117331E-2</v>
      </c>
      <c r="K104" s="146">
        <v>161517</v>
      </c>
      <c r="L104" s="147">
        <f t="shared" si="12"/>
        <v>-2.012327553781379E-2</v>
      </c>
      <c r="M104" s="146">
        <v>166410</v>
      </c>
      <c r="N104" s="147">
        <f t="shared" si="13"/>
        <v>3.0294024777577588E-2</v>
      </c>
    </row>
    <row r="105" spans="2:14" x14ac:dyDescent="0.25">
      <c r="B105" s="145" t="s">
        <v>89</v>
      </c>
      <c r="C105" s="146">
        <v>12376</v>
      </c>
      <c r="D105" s="147">
        <v>-0.91027788048166913</v>
      </c>
      <c r="E105" s="146">
        <v>71356</v>
      </c>
      <c r="F105" s="147">
        <f t="shared" si="12"/>
        <v>4.7656755009696186</v>
      </c>
      <c r="G105" s="146">
        <v>123782</v>
      </c>
      <c r="H105" s="147">
        <f t="shared" si="12"/>
        <v>0.73471046583328659</v>
      </c>
      <c r="I105" s="146">
        <v>138541</v>
      </c>
      <c r="J105" s="147">
        <f t="shared" si="12"/>
        <v>0.11923381428640667</v>
      </c>
      <c r="K105" s="146">
        <v>134625</v>
      </c>
      <c r="L105" s="147">
        <f t="shared" si="12"/>
        <v>-2.8266000678499492E-2</v>
      </c>
      <c r="M105" s="146">
        <v>143628</v>
      </c>
      <c r="N105" s="147">
        <f t="shared" si="13"/>
        <v>6.687465181058494E-2</v>
      </c>
    </row>
    <row r="106" spans="2:14" x14ac:dyDescent="0.25">
      <c r="B106" s="145" t="s">
        <v>91</v>
      </c>
      <c r="C106" s="146">
        <v>15012</v>
      </c>
      <c r="D106" s="147">
        <v>-0.89773841961852863</v>
      </c>
      <c r="E106" s="146">
        <v>123665</v>
      </c>
      <c r="F106" s="147">
        <f t="shared" si="12"/>
        <v>7.2377431388222764</v>
      </c>
      <c r="G106" s="146">
        <v>148245</v>
      </c>
      <c r="H106" s="147">
        <f t="shared" si="12"/>
        <v>0.19876278656046575</v>
      </c>
      <c r="I106" s="146">
        <v>163070</v>
      </c>
      <c r="J106" s="147">
        <f t="shared" si="12"/>
        <v>0.10000337279503535</v>
      </c>
      <c r="K106" s="146">
        <v>166146</v>
      </c>
      <c r="L106" s="147">
        <f t="shared" si="12"/>
        <v>1.8863064941436303E-2</v>
      </c>
      <c r="M106" s="146"/>
      <c r="N106" s="147"/>
    </row>
    <row r="107" spans="2:14" x14ac:dyDescent="0.25">
      <c r="B107" s="145" t="s">
        <v>93</v>
      </c>
      <c r="C107" s="146">
        <v>24493</v>
      </c>
      <c r="D107" s="147">
        <v>-0.82306453127596102</v>
      </c>
      <c r="E107" s="146">
        <v>133212</v>
      </c>
      <c r="F107" s="147">
        <f t="shared" si="12"/>
        <v>4.4387784264892014</v>
      </c>
      <c r="G107" s="146">
        <v>149094</v>
      </c>
      <c r="H107" s="147">
        <f t="shared" si="12"/>
        <v>0.11922349337897487</v>
      </c>
      <c r="I107" s="146">
        <v>159961</v>
      </c>
      <c r="J107" s="147">
        <f t="shared" si="12"/>
        <v>7.2886903564194361E-2</v>
      </c>
      <c r="K107" s="146">
        <v>156940</v>
      </c>
      <c r="L107" s="147">
        <f t="shared" si="12"/>
        <v>-1.8885853426772736E-2</v>
      </c>
      <c r="M107" s="146"/>
      <c r="N107" s="147"/>
    </row>
    <row r="108" spans="2:14" x14ac:dyDescent="0.25">
      <c r="B108" s="145" t="s">
        <v>95</v>
      </c>
      <c r="C108" s="146">
        <v>28687</v>
      </c>
      <c r="D108" s="147">
        <v>-0.79716754341308893</v>
      </c>
      <c r="E108" s="146">
        <v>116759</v>
      </c>
      <c r="F108" s="147">
        <f t="shared" si="12"/>
        <v>3.0701014396765087</v>
      </c>
      <c r="G108" s="146">
        <v>148556</v>
      </c>
      <c r="H108" s="147">
        <f t="shared" si="12"/>
        <v>0.27233018439692014</v>
      </c>
      <c r="I108" s="146">
        <v>152113</v>
      </c>
      <c r="J108" s="147">
        <f t="shared" si="12"/>
        <v>2.3943832628773087E-2</v>
      </c>
      <c r="K108" s="146">
        <v>154995</v>
      </c>
      <c r="L108" s="147">
        <f t="shared" si="12"/>
        <v>1.8946441132579039E-2</v>
      </c>
      <c r="M108" s="146"/>
      <c r="N108" s="147"/>
    </row>
    <row r="109" spans="2:14" ht="15.75" x14ac:dyDescent="0.25">
      <c r="B109" s="148" t="s">
        <v>32</v>
      </c>
      <c r="C109" s="149">
        <v>533590</v>
      </c>
      <c r="D109" s="150">
        <v>-0.67930402380022237</v>
      </c>
      <c r="E109" s="149">
        <v>632996</v>
      </c>
      <c r="F109" s="150">
        <f t="shared" si="12"/>
        <v>0.18629659476377003</v>
      </c>
      <c r="G109" s="149">
        <v>1647898</v>
      </c>
      <c r="H109" s="150">
        <f t="shared" si="12"/>
        <v>1.6033308267350819</v>
      </c>
      <c r="I109" s="149">
        <v>1772655</v>
      </c>
      <c r="J109" s="150">
        <f t="shared" si="12"/>
        <v>7.5706748840037363E-2</v>
      </c>
      <c r="K109" s="149">
        <v>1885040</v>
      </c>
      <c r="L109" s="150">
        <f t="shared" si="12"/>
        <v>6.3399251405377832E-2</v>
      </c>
      <c r="M109" s="149">
        <v>1405643</v>
      </c>
      <c r="N109" s="150">
        <v>-9.353506392154598E-4</v>
      </c>
    </row>
    <row r="110" spans="2:14" ht="6" customHeight="1" x14ac:dyDescent="0.25"/>
    <row r="111" spans="2:14" x14ac:dyDescent="0.25">
      <c r="B111" s="131" t="s">
        <v>57</v>
      </c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</row>
    <row r="112" spans="2:14" x14ac:dyDescent="0.25">
      <c r="C112" s="151"/>
      <c r="K112" s="151"/>
      <c r="N112" s="103"/>
    </row>
    <row r="114" spans="1:15" ht="48.75" customHeight="1" thickBot="1" x14ac:dyDescent="0.3">
      <c r="B114" s="12" t="s">
        <v>281</v>
      </c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" t="s">
        <v>110</v>
      </c>
    </row>
    <row r="115" spans="1:15" ht="10.5" customHeight="1" thickBot="1" x14ac:dyDescent="0.3">
      <c r="B115" s="132"/>
      <c r="C115" s="133"/>
      <c r="D115" s="132"/>
      <c r="E115" s="132"/>
      <c r="F115" s="132"/>
      <c r="G115" s="132"/>
      <c r="H115" s="132"/>
      <c r="I115" s="132"/>
      <c r="J115" s="132"/>
      <c r="K115" s="132"/>
      <c r="L115" s="132"/>
      <c r="M115" s="4"/>
      <c r="N115" s="4"/>
      <c r="O115" s="1" t="s">
        <v>111</v>
      </c>
    </row>
    <row r="116" spans="1:15" ht="22.5" thickTop="1" thickBot="1" x14ac:dyDescent="0.3">
      <c r="B116" s="152" t="str">
        <f>C116</f>
        <v>Reino Unido</v>
      </c>
      <c r="C116" s="135" t="s">
        <v>112</v>
      </c>
      <c r="D116" s="136"/>
      <c r="E116" s="136"/>
      <c r="F116" s="136"/>
      <c r="G116" s="136"/>
      <c r="H116" s="136"/>
      <c r="I116" s="136"/>
      <c r="J116" s="136"/>
      <c r="K116" s="136"/>
      <c r="L116" s="136"/>
      <c r="M116" s="136"/>
      <c r="N116" s="136"/>
    </row>
    <row r="117" spans="1:15" ht="22.5" thickTop="1" thickBot="1" x14ac:dyDescent="0.3">
      <c r="B117" s="137"/>
      <c r="C117" s="138">
        <f>$C$7</f>
        <v>2020</v>
      </c>
      <c r="D117" s="139"/>
      <c r="E117" s="140">
        <f>$E$7</f>
        <v>2021</v>
      </c>
      <c r="F117" s="139"/>
      <c r="G117" s="140">
        <f>$G$7</f>
        <v>2022</v>
      </c>
      <c r="H117" s="139"/>
      <c r="I117" s="140">
        <f>$I$7</f>
        <v>2023</v>
      </c>
      <c r="J117" s="139"/>
      <c r="K117" s="140">
        <f>$K$7</f>
        <v>2024</v>
      </c>
      <c r="L117" s="139"/>
      <c r="M117" s="140">
        <f>$M$7</f>
        <v>2025</v>
      </c>
      <c r="N117" s="141"/>
    </row>
    <row r="118" spans="1:15" ht="16.5" thickTop="1" thickBot="1" x14ac:dyDescent="0.3">
      <c r="B118" s="109"/>
      <c r="C118" s="142" t="s">
        <v>71</v>
      </c>
      <c r="D118" s="143" t="str">
        <f>CONCATENATE("var. ",RIGHT(C117,2),"/",RIGHT(C117-1,2))</f>
        <v>var. 20/19</v>
      </c>
      <c r="E118" s="144" t="s">
        <v>71</v>
      </c>
      <c r="F118" s="143" t="s">
        <v>251</v>
      </c>
      <c r="G118" s="144" t="s">
        <v>71</v>
      </c>
      <c r="H118" s="143" t="s">
        <v>251</v>
      </c>
      <c r="I118" s="144" t="s">
        <v>71</v>
      </c>
      <c r="J118" s="143" t="s">
        <v>251</v>
      </c>
      <c r="K118" s="144" t="s">
        <v>71</v>
      </c>
      <c r="L118" s="143" t="s">
        <v>251</v>
      </c>
      <c r="M118" s="144" t="s">
        <v>71</v>
      </c>
      <c r="N118" s="143" t="s">
        <v>277</v>
      </c>
    </row>
    <row r="119" spans="1:15" x14ac:dyDescent="0.25">
      <c r="B119" s="145" t="s">
        <v>73</v>
      </c>
      <c r="C119" s="146">
        <v>75091</v>
      </c>
      <c r="D119" s="147">
        <v>8.6307414104882518E-2</v>
      </c>
      <c r="E119" s="146">
        <v>774</v>
      </c>
      <c r="F119" s="147">
        <f t="shared" ref="F119:L131" si="14">IFERROR(E119/C119-1,"-")</f>
        <v>-0.98969250642553697</v>
      </c>
      <c r="G119" s="146">
        <v>36008</v>
      </c>
      <c r="H119" s="147">
        <f t="shared" si="14"/>
        <v>45.521963824289408</v>
      </c>
      <c r="I119" s="146">
        <v>59113</v>
      </c>
      <c r="J119" s="147">
        <f t="shared" si="14"/>
        <v>0.64166296378582532</v>
      </c>
      <c r="K119" s="146">
        <v>66871</v>
      </c>
      <c r="L119" s="147">
        <f t="shared" si="14"/>
        <v>0.13124016713751629</v>
      </c>
      <c r="M119" s="146">
        <v>72901</v>
      </c>
      <c r="N119" s="147">
        <f t="shared" ref="N119:N127" si="15">IFERROR(M119/K119-1,"-")</f>
        <v>9.0173617861255329E-2</v>
      </c>
    </row>
    <row r="120" spans="1:15" x14ac:dyDescent="0.25">
      <c r="B120" s="145" t="s">
        <v>75</v>
      </c>
      <c r="C120" s="146">
        <v>81036</v>
      </c>
      <c r="D120" s="147">
        <v>0.24179781479381512</v>
      </c>
      <c r="E120" s="146">
        <v>344</v>
      </c>
      <c r="F120" s="147">
        <f t="shared" si="14"/>
        <v>-0.99575497309837602</v>
      </c>
      <c r="G120" s="146">
        <v>53181</v>
      </c>
      <c r="H120" s="147">
        <f t="shared" si="14"/>
        <v>153.59593023255815</v>
      </c>
      <c r="I120" s="146">
        <v>57709</v>
      </c>
      <c r="J120" s="147">
        <f t="shared" si="14"/>
        <v>8.5143190237114696E-2</v>
      </c>
      <c r="K120" s="146">
        <v>68185</v>
      </c>
      <c r="L120" s="147">
        <f t="shared" si="14"/>
        <v>0.18153147689268567</v>
      </c>
      <c r="M120" s="146">
        <v>72176</v>
      </c>
      <c r="N120" s="147">
        <f t="shared" si="15"/>
        <v>5.8531935176358463E-2</v>
      </c>
    </row>
    <row r="121" spans="1:15" x14ac:dyDescent="0.25">
      <c r="B121" s="145" t="s">
        <v>77</v>
      </c>
      <c r="C121" s="146">
        <v>42067</v>
      </c>
      <c r="D121" s="147">
        <v>-0.33325408523925004</v>
      </c>
      <c r="E121" s="146">
        <v>248</v>
      </c>
      <c r="F121" s="147">
        <f t="shared" si="14"/>
        <v>-0.99410464259395726</v>
      </c>
      <c r="G121" s="146">
        <v>65273</v>
      </c>
      <c r="H121" s="147">
        <f t="shared" si="14"/>
        <v>262.19758064516128</v>
      </c>
      <c r="I121" s="146">
        <v>46927</v>
      </c>
      <c r="J121" s="147">
        <f t="shared" si="14"/>
        <v>-0.28106567799855986</v>
      </c>
      <c r="K121" s="146">
        <v>62209</v>
      </c>
      <c r="L121" s="147">
        <f t="shared" si="14"/>
        <v>0.3256547403413812</v>
      </c>
      <c r="M121" s="146">
        <v>65836</v>
      </c>
      <c r="N121" s="147">
        <f t="shared" si="15"/>
        <v>5.8303460914015615E-2</v>
      </c>
    </row>
    <row r="122" spans="1:15" x14ac:dyDescent="0.25">
      <c r="B122" s="145" t="s">
        <v>79</v>
      </c>
      <c r="C122" s="146">
        <v>0</v>
      </c>
      <c r="D122" s="147">
        <v>-1</v>
      </c>
      <c r="E122" s="146">
        <v>89</v>
      </c>
      <c r="F122" s="147" t="str">
        <f t="shared" si="14"/>
        <v>-</v>
      </c>
      <c r="G122" s="146">
        <v>69119</v>
      </c>
      <c r="H122" s="147">
        <f t="shared" si="14"/>
        <v>775.61797752808991</v>
      </c>
      <c r="I122" s="146">
        <v>48951</v>
      </c>
      <c r="J122" s="147">
        <f t="shared" si="14"/>
        <v>-0.29178662885747764</v>
      </c>
      <c r="K122" s="146">
        <v>65140</v>
      </c>
      <c r="L122" s="147">
        <f t="shared" si="14"/>
        <v>0.33071847357561635</v>
      </c>
      <c r="M122" s="146">
        <v>70585</v>
      </c>
      <c r="N122" s="147">
        <f t="shared" si="15"/>
        <v>8.3589192508443322E-2</v>
      </c>
    </row>
    <row r="123" spans="1:15" x14ac:dyDescent="0.25">
      <c r="B123" s="145" t="s">
        <v>81</v>
      </c>
      <c r="C123" s="146">
        <v>0</v>
      </c>
      <c r="D123" s="147">
        <v>-1</v>
      </c>
      <c r="E123" s="146">
        <v>167</v>
      </c>
      <c r="F123" s="147" t="str">
        <f t="shared" si="14"/>
        <v>-</v>
      </c>
      <c r="G123" s="146">
        <v>59127</v>
      </c>
      <c r="H123" s="147">
        <f t="shared" si="14"/>
        <v>353.05389221556885</v>
      </c>
      <c r="I123" s="146">
        <v>59272</v>
      </c>
      <c r="J123" s="147">
        <f t="shared" si="14"/>
        <v>2.4523483349401243E-3</v>
      </c>
      <c r="K123" s="146">
        <v>74566</v>
      </c>
      <c r="L123" s="147">
        <f t="shared" si="14"/>
        <v>0.2580307733837226</v>
      </c>
      <c r="M123" s="146">
        <v>74655</v>
      </c>
      <c r="N123" s="147">
        <f t="shared" si="15"/>
        <v>1.1935734785291086E-3</v>
      </c>
    </row>
    <row r="124" spans="1:15" x14ac:dyDescent="0.25">
      <c r="B124" s="145" t="s">
        <v>83</v>
      </c>
      <c r="C124" s="146">
        <v>0</v>
      </c>
      <c r="D124" s="147">
        <v>-1</v>
      </c>
      <c r="E124" s="146">
        <v>488</v>
      </c>
      <c r="F124" s="147" t="str">
        <f t="shared" si="14"/>
        <v>-</v>
      </c>
      <c r="G124" s="146">
        <v>59135</v>
      </c>
      <c r="H124" s="147">
        <f t="shared" si="14"/>
        <v>120.17827868852459</v>
      </c>
      <c r="I124" s="146">
        <v>59708</v>
      </c>
      <c r="J124" s="147">
        <f t="shared" si="14"/>
        <v>9.689693075167094E-3</v>
      </c>
      <c r="K124" s="146">
        <v>77243</v>
      </c>
      <c r="L124" s="147">
        <f t="shared" si="14"/>
        <v>0.293679238962953</v>
      </c>
      <c r="M124" s="146">
        <v>76127</v>
      </c>
      <c r="N124" s="147">
        <f t="shared" si="15"/>
        <v>-1.4447911137578817E-2</v>
      </c>
    </row>
    <row r="125" spans="1:15" x14ac:dyDescent="0.25">
      <c r="B125" s="145" t="s">
        <v>85</v>
      </c>
      <c r="C125" s="146">
        <v>0</v>
      </c>
      <c r="D125" s="147">
        <v>-1</v>
      </c>
      <c r="E125" s="146">
        <v>4225</v>
      </c>
      <c r="F125" s="147" t="str">
        <f t="shared" si="14"/>
        <v>-</v>
      </c>
      <c r="G125" s="146">
        <v>64510</v>
      </c>
      <c r="H125" s="147">
        <f t="shared" si="14"/>
        <v>14.268639053254438</v>
      </c>
      <c r="I125" s="146">
        <v>67918</v>
      </c>
      <c r="J125" s="147">
        <f t="shared" si="14"/>
        <v>5.282901875678192E-2</v>
      </c>
      <c r="K125" s="146">
        <v>76495</v>
      </c>
      <c r="L125" s="147">
        <f t="shared" si="14"/>
        <v>0.12628463735681272</v>
      </c>
      <c r="M125" s="146">
        <v>80250</v>
      </c>
      <c r="N125" s="147">
        <f t="shared" si="15"/>
        <v>4.9088175697757919E-2</v>
      </c>
    </row>
    <row r="126" spans="1:15" x14ac:dyDescent="0.25">
      <c r="B126" s="145" t="s">
        <v>87</v>
      </c>
      <c r="C126" s="146">
        <v>2044</v>
      </c>
      <c r="D126" s="147">
        <v>-0.97664213557617585</v>
      </c>
      <c r="E126" s="146">
        <v>14623</v>
      </c>
      <c r="F126" s="147">
        <f t="shared" si="14"/>
        <v>6.154109589041096</v>
      </c>
      <c r="G126" s="146">
        <v>78894</v>
      </c>
      <c r="H126" s="147">
        <f t="shared" si="14"/>
        <v>4.3951993434999661</v>
      </c>
      <c r="I126" s="146">
        <v>76684</v>
      </c>
      <c r="J126" s="147">
        <f t="shared" si="14"/>
        <v>-2.8012269627601616E-2</v>
      </c>
      <c r="K126" s="146">
        <v>82370</v>
      </c>
      <c r="L126" s="147">
        <f t="shared" si="14"/>
        <v>7.4148453393145797E-2</v>
      </c>
      <c r="M126" s="146">
        <v>87951</v>
      </c>
      <c r="N126" s="147">
        <f t="shared" si="15"/>
        <v>6.7755250698069647E-2</v>
      </c>
    </row>
    <row r="127" spans="1:15" x14ac:dyDescent="0.25">
      <c r="B127" s="145" t="s">
        <v>89</v>
      </c>
      <c r="C127" s="146">
        <v>1376</v>
      </c>
      <c r="D127" s="147">
        <v>-0.9821138422742457</v>
      </c>
      <c r="E127" s="146">
        <v>20858</v>
      </c>
      <c r="F127" s="147">
        <f t="shared" si="14"/>
        <v>14.158430232558139</v>
      </c>
      <c r="G127" s="146">
        <v>60744</v>
      </c>
      <c r="H127" s="147">
        <f t="shared" si="14"/>
        <v>1.9122638795665932</v>
      </c>
      <c r="I127" s="146">
        <v>69941</v>
      </c>
      <c r="J127" s="147">
        <f t="shared" si="14"/>
        <v>0.15140590017121025</v>
      </c>
      <c r="K127" s="146">
        <v>69701</v>
      </c>
      <c r="L127" s="147">
        <f t="shared" si="14"/>
        <v>-3.4314636622295724E-3</v>
      </c>
      <c r="M127" s="146">
        <v>74942</v>
      </c>
      <c r="N127" s="147">
        <f t="shared" si="15"/>
        <v>7.51926084274257E-2</v>
      </c>
    </row>
    <row r="128" spans="1:15" x14ac:dyDescent="0.25">
      <c r="A128" s="151"/>
      <c r="B128" s="145" t="s">
        <v>91</v>
      </c>
      <c r="C128" s="146">
        <v>2708</v>
      </c>
      <c r="D128" s="147">
        <v>-0.9648886238103882</v>
      </c>
      <c r="E128" s="146">
        <v>49641</v>
      </c>
      <c r="F128" s="147">
        <f t="shared" si="14"/>
        <v>17.331240768094535</v>
      </c>
      <c r="G128" s="146">
        <v>74615</v>
      </c>
      <c r="H128" s="147">
        <f t="shared" si="14"/>
        <v>0.50309220201043492</v>
      </c>
      <c r="I128" s="146">
        <v>76376</v>
      </c>
      <c r="J128" s="147">
        <f t="shared" si="14"/>
        <v>2.3601152583260676E-2</v>
      </c>
      <c r="K128" s="146">
        <v>81903</v>
      </c>
      <c r="L128" s="147">
        <f t="shared" si="14"/>
        <v>7.2365664606682811E-2</v>
      </c>
      <c r="M128" s="146"/>
      <c r="N128" s="147"/>
    </row>
    <row r="129" spans="2:15" x14ac:dyDescent="0.25">
      <c r="B129" s="145" t="s">
        <v>93</v>
      </c>
      <c r="C129" s="146">
        <v>10487</v>
      </c>
      <c r="D129" s="147">
        <v>-0.84322489983854565</v>
      </c>
      <c r="E129" s="146">
        <v>52715</v>
      </c>
      <c r="F129" s="147">
        <f t="shared" si="14"/>
        <v>4.02669972346715</v>
      </c>
      <c r="G129" s="146">
        <v>58033</v>
      </c>
      <c r="H129" s="147">
        <f t="shared" si="14"/>
        <v>0.10088210186853841</v>
      </c>
      <c r="I129" s="146">
        <v>64734</v>
      </c>
      <c r="J129" s="147">
        <f t="shared" si="14"/>
        <v>0.11546878500163693</v>
      </c>
      <c r="K129" s="146">
        <v>69290</v>
      </c>
      <c r="L129" s="147">
        <f t="shared" si="14"/>
        <v>7.0380325640312602E-2</v>
      </c>
      <c r="M129" s="146"/>
      <c r="N129" s="147"/>
    </row>
    <row r="130" spans="2:15" x14ac:dyDescent="0.25">
      <c r="B130" s="145" t="s">
        <v>95</v>
      </c>
      <c r="C130" s="146">
        <v>8843</v>
      </c>
      <c r="D130" s="147">
        <v>-0.86797748615278958</v>
      </c>
      <c r="E130" s="146">
        <v>38812</v>
      </c>
      <c r="F130" s="147">
        <f t="shared" si="14"/>
        <v>3.3890082551170417</v>
      </c>
      <c r="G130" s="146">
        <v>61422</v>
      </c>
      <c r="H130" s="147">
        <f t="shared" si="14"/>
        <v>0.582551788106771</v>
      </c>
      <c r="I130" s="146">
        <v>58399</v>
      </c>
      <c r="J130" s="147">
        <f t="shared" si="14"/>
        <v>-4.921689296994558E-2</v>
      </c>
      <c r="K130" s="146">
        <v>63488</v>
      </c>
      <c r="L130" s="147">
        <f t="shared" si="14"/>
        <v>8.7141903114779318E-2</v>
      </c>
      <c r="M130" s="146"/>
      <c r="N130" s="147"/>
    </row>
    <row r="131" spans="2:15" ht="15.75" x14ac:dyDescent="0.25">
      <c r="B131" s="148" t="s">
        <v>32</v>
      </c>
      <c r="C131" s="149">
        <v>226701</v>
      </c>
      <c r="D131" s="150">
        <v>-0.73257435273133931</v>
      </c>
      <c r="E131" s="149">
        <v>182984</v>
      </c>
      <c r="F131" s="150">
        <f t="shared" si="14"/>
        <v>-0.19283990807274776</v>
      </c>
      <c r="G131" s="149">
        <v>740061</v>
      </c>
      <c r="H131" s="150">
        <f t="shared" si="14"/>
        <v>3.0444027893149128</v>
      </c>
      <c r="I131" s="149">
        <v>745732</v>
      </c>
      <c r="J131" s="150">
        <f t="shared" si="14"/>
        <v>7.6628818435238166E-3</v>
      </c>
      <c r="K131" s="149">
        <v>857461</v>
      </c>
      <c r="L131" s="150">
        <f t="shared" si="14"/>
        <v>0.1498246018676952</v>
      </c>
      <c r="M131" s="149">
        <v>675423</v>
      </c>
      <c r="N131" s="150">
        <v>5.0784094091290921E-2</v>
      </c>
    </row>
    <row r="132" spans="2:15" ht="6" customHeight="1" x14ac:dyDescent="0.25"/>
    <row r="133" spans="2:15" x14ac:dyDescent="0.25">
      <c r="B133" s="131" t="s">
        <v>57</v>
      </c>
      <c r="C133" s="131"/>
      <c r="D133" s="131"/>
      <c r="E133" s="131"/>
      <c r="F133" s="131"/>
      <c r="G133" s="131"/>
      <c r="H133" s="131"/>
      <c r="I133" s="131"/>
      <c r="J133" s="131"/>
      <c r="K133" s="131"/>
      <c r="L133" s="131"/>
      <c r="M133" s="131"/>
      <c r="N133" s="131"/>
    </row>
    <row r="134" spans="2:15" x14ac:dyDescent="0.25">
      <c r="C134" s="151"/>
      <c r="K134" s="151"/>
      <c r="N134" s="103"/>
    </row>
    <row r="136" spans="2:15" ht="48.75" customHeight="1" thickBot="1" x14ac:dyDescent="0.3">
      <c r="B136" s="12" t="s">
        <v>282</v>
      </c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" t="s">
        <v>113</v>
      </c>
    </row>
    <row r="137" spans="2:15" ht="10.5" customHeight="1" thickBot="1" x14ac:dyDescent="0.3">
      <c r="B137" s="132"/>
      <c r="C137" s="133"/>
      <c r="D137" s="132"/>
      <c r="E137" s="132"/>
      <c r="F137" s="132"/>
      <c r="G137" s="132"/>
      <c r="H137" s="132"/>
      <c r="I137" s="132"/>
      <c r="J137" s="132"/>
      <c r="K137" s="132"/>
      <c r="L137" s="132"/>
      <c r="M137" s="4"/>
      <c r="N137" s="4"/>
      <c r="O137" s="1" t="s">
        <v>114</v>
      </c>
    </row>
    <row r="138" spans="2:15" ht="22.5" thickTop="1" thickBot="1" x14ac:dyDescent="0.3">
      <c r="B138" s="152" t="str">
        <f>C138</f>
        <v>Alemania</v>
      </c>
      <c r="C138" s="135" t="s">
        <v>115</v>
      </c>
      <c r="D138" s="136"/>
      <c r="E138" s="136"/>
      <c r="F138" s="136"/>
      <c r="G138" s="136"/>
      <c r="H138" s="136"/>
      <c r="I138" s="136"/>
      <c r="J138" s="136"/>
      <c r="K138" s="136"/>
      <c r="L138" s="136"/>
      <c r="M138" s="136"/>
      <c r="N138" s="136"/>
    </row>
    <row r="139" spans="2:15" ht="22.5" thickTop="1" thickBot="1" x14ac:dyDescent="0.3">
      <c r="B139" s="137"/>
      <c r="C139" s="138">
        <f>$C$7</f>
        <v>2020</v>
      </c>
      <c r="D139" s="139"/>
      <c r="E139" s="140">
        <f>$E$7</f>
        <v>2021</v>
      </c>
      <c r="F139" s="139"/>
      <c r="G139" s="140">
        <f>$G$7</f>
        <v>2022</v>
      </c>
      <c r="H139" s="139"/>
      <c r="I139" s="140">
        <f>$I$7</f>
        <v>2023</v>
      </c>
      <c r="J139" s="139"/>
      <c r="K139" s="140">
        <f>$K$7</f>
        <v>2024</v>
      </c>
      <c r="L139" s="139"/>
      <c r="M139" s="140">
        <f>$M$7</f>
        <v>2025</v>
      </c>
      <c r="N139" s="141"/>
    </row>
    <row r="140" spans="2:15" ht="16.5" thickTop="1" thickBot="1" x14ac:dyDescent="0.3">
      <c r="B140" s="109"/>
      <c r="C140" s="142" t="s">
        <v>71</v>
      </c>
      <c r="D140" s="143" t="str">
        <f>CONCATENATE("var. ",RIGHT(C139,2),"/",RIGHT(C139-1,2))</f>
        <v>var. 20/19</v>
      </c>
      <c r="E140" s="144" t="s">
        <v>71</v>
      </c>
      <c r="F140" s="143" t="s">
        <v>251</v>
      </c>
      <c r="G140" s="144" t="s">
        <v>71</v>
      </c>
      <c r="H140" s="143" t="s">
        <v>251</v>
      </c>
      <c r="I140" s="144" t="s">
        <v>71</v>
      </c>
      <c r="J140" s="143" t="s">
        <v>251</v>
      </c>
      <c r="K140" s="144" t="s">
        <v>71</v>
      </c>
      <c r="L140" s="143" t="s">
        <v>251</v>
      </c>
      <c r="M140" s="144" t="s">
        <v>71</v>
      </c>
      <c r="N140" s="143" t="s">
        <v>277</v>
      </c>
    </row>
    <row r="141" spans="2:15" x14ac:dyDescent="0.25">
      <c r="B141" s="145" t="s">
        <v>73</v>
      </c>
      <c r="C141" s="146">
        <v>10425</v>
      </c>
      <c r="D141" s="147">
        <v>3.3303597977995869E-2</v>
      </c>
      <c r="E141" s="146">
        <v>1811</v>
      </c>
      <c r="F141" s="147">
        <f t="shared" ref="F141:L153" si="16">IFERROR(E141/C141-1,"-")</f>
        <v>-0.82628297362110315</v>
      </c>
      <c r="G141" s="146">
        <v>10166</v>
      </c>
      <c r="H141" s="147">
        <f t="shared" si="16"/>
        <v>4.6134732192159031</v>
      </c>
      <c r="I141" s="146">
        <v>13510</v>
      </c>
      <c r="J141" s="147">
        <f t="shared" si="16"/>
        <v>0.32893960259689159</v>
      </c>
      <c r="K141" s="146">
        <v>15426</v>
      </c>
      <c r="L141" s="147">
        <f t="shared" si="16"/>
        <v>0.14182087342709115</v>
      </c>
      <c r="M141" s="146">
        <v>14398</v>
      </c>
      <c r="N141" s="147">
        <f t="shared" ref="N141:N149" si="17">IFERROR(M141/K141-1,"-")</f>
        <v>-6.6640736419032787E-2</v>
      </c>
    </row>
    <row r="142" spans="2:15" x14ac:dyDescent="0.25">
      <c r="B142" s="145" t="s">
        <v>75</v>
      </c>
      <c r="C142" s="146">
        <v>8886</v>
      </c>
      <c r="D142" s="147">
        <v>-0.10756251883097323</v>
      </c>
      <c r="E142" s="146">
        <v>1347</v>
      </c>
      <c r="F142" s="147">
        <f t="shared" si="16"/>
        <v>-0.8484132343011479</v>
      </c>
      <c r="G142" s="146">
        <v>9417</v>
      </c>
      <c r="H142" s="147">
        <f t="shared" si="16"/>
        <v>5.9910913140311806</v>
      </c>
      <c r="I142" s="146">
        <v>15201</v>
      </c>
      <c r="J142" s="147">
        <f t="shared" si="16"/>
        <v>0.6142083466071997</v>
      </c>
      <c r="K142" s="146">
        <v>18617</v>
      </c>
      <c r="L142" s="147">
        <f t="shared" si="16"/>
        <v>0.22472205775935783</v>
      </c>
      <c r="M142" s="146">
        <v>15634</v>
      </c>
      <c r="N142" s="147">
        <f t="shared" si="17"/>
        <v>-0.16022989740559701</v>
      </c>
    </row>
    <row r="143" spans="2:15" x14ac:dyDescent="0.25">
      <c r="B143" s="145" t="s">
        <v>77</v>
      </c>
      <c r="C143" s="146">
        <v>6218</v>
      </c>
      <c r="D143" s="147">
        <v>-0.40876675858134448</v>
      </c>
      <c r="E143" s="146">
        <v>2285</v>
      </c>
      <c r="F143" s="147">
        <f t="shared" si="16"/>
        <v>-0.63251849469282728</v>
      </c>
      <c r="G143" s="146">
        <v>11533</v>
      </c>
      <c r="H143" s="147">
        <f t="shared" si="16"/>
        <v>4.0472647702406999</v>
      </c>
      <c r="I143" s="146">
        <v>17535</v>
      </c>
      <c r="J143" s="147">
        <f t="shared" si="16"/>
        <v>0.52041966530824579</v>
      </c>
      <c r="K143" s="146">
        <v>27146</v>
      </c>
      <c r="L143" s="147">
        <f t="shared" si="16"/>
        <v>0.54810379241516971</v>
      </c>
      <c r="M143" s="146">
        <v>19555</v>
      </c>
      <c r="N143" s="147">
        <f t="shared" si="17"/>
        <v>-0.27963604214248872</v>
      </c>
    </row>
    <row r="144" spans="2:15" x14ac:dyDescent="0.25">
      <c r="B144" s="145" t="s">
        <v>79</v>
      </c>
      <c r="C144" s="146">
        <v>0</v>
      </c>
      <c r="D144" s="147">
        <v>-1</v>
      </c>
      <c r="E144" s="146">
        <v>1975</v>
      </c>
      <c r="F144" s="147" t="str">
        <f t="shared" si="16"/>
        <v>-</v>
      </c>
      <c r="G144" s="146">
        <v>11437</v>
      </c>
      <c r="H144" s="147">
        <f t="shared" si="16"/>
        <v>4.7908860759493672</v>
      </c>
      <c r="I144" s="146">
        <v>12234</v>
      </c>
      <c r="J144" s="147">
        <f t="shared" si="16"/>
        <v>6.9686106496458899E-2</v>
      </c>
      <c r="K144" s="146">
        <v>15780</v>
      </c>
      <c r="L144" s="147">
        <f t="shared" si="16"/>
        <v>0.28984796468857277</v>
      </c>
      <c r="M144" s="146">
        <v>16806</v>
      </c>
      <c r="N144" s="147">
        <f t="shared" si="17"/>
        <v>6.5019011406844074E-2</v>
      </c>
    </row>
    <row r="145" spans="1:15" x14ac:dyDescent="0.25">
      <c r="B145" s="145" t="s">
        <v>81</v>
      </c>
      <c r="C145" s="146">
        <v>0</v>
      </c>
      <c r="D145" s="147">
        <v>-1</v>
      </c>
      <c r="E145" s="146">
        <v>1716</v>
      </c>
      <c r="F145" s="147" t="str">
        <f t="shared" si="16"/>
        <v>-</v>
      </c>
      <c r="G145" s="146">
        <v>6863</v>
      </c>
      <c r="H145" s="147">
        <f t="shared" si="16"/>
        <v>2.9994172494172493</v>
      </c>
      <c r="I145" s="146">
        <v>12664</v>
      </c>
      <c r="J145" s="147">
        <f t="shared" si="16"/>
        <v>0.84525717616202822</v>
      </c>
      <c r="K145" s="146">
        <v>15299</v>
      </c>
      <c r="L145" s="147">
        <f t="shared" si="16"/>
        <v>0.20807012002526837</v>
      </c>
      <c r="M145" s="146">
        <v>10398</v>
      </c>
      <c r="N145" s="147">
        <f t="shared" si="17"/>
        <v>-0.32034773514608794</v>
      </c>
    </row>
    <row r="146" spans="1:15" x14ac:dyDescent="0.25">
      <c r="B146" s="145" t="s">
        <v>83</v>
      </c>
      <c r="C146" s="146">
        <v>0</v>
      </c>
      <c r="D146" s="147">
        <v>-1</v>
      </c>
      <c r="E146" s="146">
        <v>1838</v>
      </c>
      <c r="F146" s="147" t="str">
        <f t="shared" si="16"/>
        <v>-</v>
      </c>
      <c r="G146" s="146">
        <v>9733</v>
      </c>
      <c r="H146" s="147">
        <f t="shared" si="16"/>
        <v>4.2954298150163224</v>
      </c>
      <c r="I146" s="146">
        <v>14038</v>
      </c>
      <c r="J146" s="147">
        <f t="shared" si="16"/>
        <v>0.44230966813931993</v>
      </c>
      <c r="K146" s="146">
        <v>12045</v>
      </c>
      <c r="L146" s="147">
        <f t="shared" si="16"/>
        <v>-0.14197179085339795</v>
      </c>
      <c r="M146" s="146">
        <v>14419</v>
      </c>
      <c r="N146" s="147">
        <f t="shared" si="17"/>
        <v>0.19709422997094239</v>
      </c>
    </row>
    <row r="147" spans="1:15" x14ac:dyDescent="0.25">
      <c r="B147" s="145" t="s">
        <v>85</v>
      </c>
      <c r="C147" s="146">
        <v>0</v>
      </c>
      <c r="D147" s="147">
        <v>-1</v>
      </c>
      <c r="E147" s="146">
        <v>4992</v>
      </c>
      <c r="F147" s="147" t="str">
        <f t="shared" si="16"/>
        <v>-</v>
      </c>
      <c r="G147" s="146">
        <v>9290</v>
      </c>
      <c r="H147" s="147">
        <f t="shared" si="16"/>
        <v>0.8609775641025641</v>
      </c>
      <c r="I147" s="146">
        <v>13679</v>
      </c>
      <c r="J147" s="147">
        <f t="shared" si="16"/>
        <v>0.47244348762109789</v>
      </c>
      <c r="K147" s="146">
        <v>11369</v>
      </c>
      <c r="L147" s="147">
        <f t="shared" si="16"/>
        <v>-0.16887199356678118</v>
      </c>
      <c r="M147" s="146">
        <v>15851</v>
      </c>
      <c r="N147" s="147">
        <f t="shared" si="17"/>
        <v>0.39422992347611929</v>
      </c>
    </row>
    <row r="148" spans="1:15" x14ac:dyDescent="0.25">
      <c r="B148" s="145" t="s">
        <v>87</v>
      </c>
      <c r="C148" s="146">
        <v>6670</v>
      </c>
      <c r="D148" s="147">
        <v>-0.25715558525448268</v>
      </c>
      <c r="E148" s="146">
        <v>5971</v>
      </c>
      <c r="F148" s="147">
        <f t="shared" si="16"/>
        <v>-0.10479760119940029</v>
      </c>
      <c r="G148" s="146">
        <v>9424</v>
      </c>
      <c r="H148" s="147">
        <f t="shared" si="16"/>
        <v>0.57829509294925474</v>
      </c>
      <c r="I148" s="146">
        <v>15009</v>
      </c>
      <c r="J148" s="147">
        <f t="shared" si="16"/>
        <v>0.59263582342954169</v>
      </c>
      <c r="K148" s="146">
        <v>11599</v>
      </c>
      <c r="L148" s="147">
        <f t="shared" si="16"/>
        <v>-0.22719701512425883</v>
      </c>
      <c r="M148" s="146">
        <v>14741</v>
      </c>
      <c r="N148" s="147">
        <f t="shared" si="17"/>
        <v>0.27088542115699621</v>
      </c>
    </row>
    <row r="149" spans="1:15" x14ac:dyDescent="0.25">
      <c r="B149" s="145" t="s">
        <v>89</v>
      </c>
      <c r="C149" s="146">
        <v>1355</v>
      </c>
      <c r="D149" s="147">
        <v>-0.86265963916480848</v>
      </c>
      <c r="E149" s="146">
        <v>6062</v>
      </c>
      <c r="F149" s="147">
        <f t="shared" si="16"/>
        <v>3.4738007380073803</v>
      </c>
      <c r="G149" s="146">
        <v>9609</v>
      </c>
      <c r="H149" s="147">
        <f t="shared" si="16"/>
        <v>0.58512042230287031</v>
      </c>
      <c r="I149" s="146">
        <v>12732</v>
      </c>
      <c r="J149" s="147">
        <f t="shared" si="16"/>
        <v>0.32500780518264127</v>
      </c>
      <c r="K149" s="146">
        <v>10309</v>
      </c>
      <c r="L149" s="147">
        <f t="shared" si="16"/>
        <v>-0.19030788564247569</v>
      </c>
      <c r="M149" s="146">
        <v>13426</v>
      </c>
      <c r="N149" s="147">
        <f t="shared" si="17"/>
        <v>0.30235716364341836</v>
      </c>
    </row>
    <row r="150" spans="1:15" x14ac:dyDescent="0.25">
      <c r="A150" s="151"/>
      <c r="B150" s="145" t="s">
        <v>91</v>
      </c>
      <c r="C150" s="146">
        <v>926</v>
      </c>
      <c r="D150" s="147">
        <v>-0.91888577435178698</v>
      </c>
      <c r="E150" s="146">
        <v>12835</v>
      </c>
      <c r="F150" s="147">
        <f t="shared" si="16"/>
        <v>12.860691144708424</v>
      </c>
      <c r="G150" s="146">
        <v>12307</v>
      </c>
      <c r="H150" s="147">
        <f t="shared" si="16"/>
        <v>-4.1137514608492354E-2</v>
      </c>
      <c r="I150" s="146">
        <v>18958</v>
      </c>
      <c r="J150" s="147">
        <f t="shared" si="16"/>
        <v>0.5404241488583732</v>
      </c>
      <c r="K150" s="146">
        <v>17259</v>
      </c>
      <c r="L150" s="147">
        <f t="shared" si="16"/>
        <v>-8.9619158139044197E-2</v>
      </c>
      <c r="M150" s="146"/>
      <c r="N150" s="147"/>
    </row>
    <row r="151" spans="1:15" x14ac:dyDescent="0.25">
      <c r="B151" s="145" t="s">
        <v>93</v>
      </c>
      <c r="C151" s="146">
        <v>4663</v>
      </c>
      <c r="D151" s="147">
        <v>-0.5609227871939737</v>
      </c>
      <c r="E151" s="146">
        <v>15581</v>
      </c>
      <c r="F151" s="147">
        <f t="shared" si="16"/>
        <v>2.3414111087282867</v>
      </c>
      <c r="G151" s="146">
        <v>19260</v>
      </c>
      <c r="H151" s="147">
        <f t="shared" si="16"/>
        <v>0.23612091650086642</v>
      </c>
      <c r="I151" s="146">
        <v>19377</v>
      </c>
      <c r="J151" s="147">
        <f t="shared" si="16"/>
        <v>6.0747663551401487E-3</v>
      </c>
      <c r="K151" s="146">
        <v>20409</v>
      </c>
      <c r="L151" s="147">
        <f t="shared" si="16"/>
        <v>5.3259018423904569E-2</v>
      </c>
      <c r="M151" s="146"/>
      <c r="N151" s="147"/>
    </row>
    <row r="152" spans="1:15" x14ac:dyDescent="0.25">
      <c r="B152" s="145" t="s">
        <v>95</v>
      </c>
      <c r="C152" s="146">
        <v>3478</v>
      </c>
      <c r="D152" s="147">
        <v>-0.6711111111111111</v>
      </c>
      <c r="E152" s="146">
        <v>12912</v>
      </c>
      <c r="F152" s="147">
        <f t="shared" si="16"/>
        <v>2.7124784358826912</v>
      </c>
      <c r="G152" s="146">
        <v>13422</v>
      </c>
      <c r="H152" s="147">
        <f t="shared" si="16"/>
        <v>3.9498141263940578E-2</v>
      </c>
      <c r="I152" s="146">
        <v>16292</v>
      </c>
      <c r="J152" s="147">
        <f t="shared" si="16"/>
        <v>0.2138280435106541</v>
      </c>
      <c r="K152" s="146">
        <v>15069</v>
      </c>
      <c r="L152" s="147">
        <f t="shared" si="16"/>
        <v>-7.506751780014731E-2</v>
      </c>
      <c r="M152" s="146"/>
      <c r="N152" s="147"/>
    </row>
    <row r="153" spans="1:15" ht="15.75" x14ac:dyDescent="0.25">
      <c r="B153" s="148" t="s">
        <v>32</v>
      </c>
      <c r="C153" s="149">
        <v>45672</v>
      </c>
      <c r="D153" s="150">
        <v>-0.59856202371430323</v>
      </c>
      <c r="E153" s="149">
        <v>69325</v>
      </c>
      <c r="F153" s="150">
        <f t="shared" si="16"/>
        <v>0.51788842179015582</v>
      </c>
      <c r="G153" s="149">
        <v>132461</v>
      </c>
      <c r="H153" s="150">
        <f t="shared" si="16"/>
        <v>0.91072484673638665</v>
      </c>
      <c r="I153" s="149">
        <v>181229</v>
      </c>
      <c r="J153" s="150">
        <f t="shared" si="16"/>
        <v>0.36816874400767019</v>
      </c>
      <c r="K153" s="149">
        <v>190327</v>
      </c>
      <c r="L153" s="150">
        <f t="shared" si="16"/>
        <v>5.0201678539306682E-2</v>
      </c>
      <c r="M153" s="149">
        <v>135228</v>
      </c>
      <c r="N153" s="150">
        <v>-1.716694527218543E-2</v>
      </c>
    </row>
    <row r="154" spans="1:15" ht="6" customHeight="1" x14ac:dyDescent="0.25"/>
    <row r="155" spans="1:15" x14ac:dyDescent="0.25">
      <c r="B155" s="131" t="s">
        <v>57</v>
      </c>
      <c r="C155" s="131"/>
      <c r="D155" s="131"/>
      <c r="E155" s="131"/>
      <c r="F155" s="131"/>
      <c r="G155" s="131"/>
      <c r="H155" s="131"/>
      <c r="I155" s="131"/>
      <c r="J155" s="131"/>
      <c r="K155" s="131"/>
      <c r="L155" s="131"/>
      <c r="M155" s="131"/>
      <c r="N155" s="131"/>
    </row>
    <row r="156" spans="1:15" x14ac:dyDescent="0.25">
      <c r="C156" s="151"/>
      <c r="K156" s="151"/>
      <c r="N156" s="103"/>
    </row>
    <row r="158" spans="1:15" ht="48.75" customHeight="1" thickBot="1" x14ac:dyDescent="0.3">
      <c r="B158" s="12" t="s">
        <v>283</v>
      </c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" t="s">
        <v>116</v>
      </c>
    </row>
    <row r="159" spans="1:15" ht="10.5" customHeight="1" thickBot="1" x14ac:dyDescent="0.3">
      <c r="B159" s="132"/>
      <c r="C159" s="133"/>
      <c r="D159" s="132"/>
      <c r="E159" s="132"/>
      <c r="F159" s="132"/>
      <c r="G159" s="132"/>
      <c r="H159" s="132"/>
      <c r="I159" s="132"/>
      <c r="J159" s="132"/>
      <c r="K159" s="132"/>
      <c r="L159" s="132"/>
      <c r="M159" s="4"/>
      <c r="N159" s="4"/>
      <c r="O159" s="1" t="s">
        <v>117</v>
      </c>
    </row>
    <row r="160" spans="1:15" ht="22.5" thickTop="1" thickBot="1" x14ac:dyDescent="0.3">
      <c r="B160" s="152" t="str">
        <f>C160</f>
        <v>Francia</v>
      </c>
      <c r="C160" s="135" t="s">
        <v>118</v>
      </c>
      <c r="D160" s="136"/>
      <c r="E160" s="136"/>
      <c r="F160" s="136"/>
      <c r="G160" s="136"/>
      <c r="H160" s="136"/>
      <c r="I160" s="136"/>
      <c r="J160" s="136"/>
      <c r="K160" s="136"/>
      <c r="L160" s="136"/>
      <c r="M160" s="136"/>
      <c r="N160" s="136"/>
    </row>
    <row r="161" spans="2:14" ht="22.5" thickTop="1" thickBot="1" x14ac:dyDescent="0.3">
      <c r="B161" s="137"/>
      <c r="C161" s="138">
        <f>$C$7</f>
        <v>2020</v>
      </c>
      <c r="D161" s="139"/>
      <c r="E161" s="140">
        <f>$E$7</f>
        <v>2021</v>
      </c>
      <c r="F161" s="139"/>
      <c r="G161" s="140">
        <f>$G$7</f>
        <v>2022</v>
      </c>
      <c r="H161" s="139"/>
      <c r="I161" s="140">
        <f>$I$7</f>
        <v>2023</v>
      </c>
      <c r="J161" s="139"/>
      <c r="K161" s="140">
        <f>$K$7</f>
        <v>2024</v>
      </c>
      <c r="L161" s="139"/>
      <c r="M161" s="140">
        <f>$M$7</f>
        <v>2025</v>
      </c>
      <c r="N161" s="141"/>
    </row>
    <row r="162" spans="2:14" ht="16.5" thickTop="1" thickBot="1" x14ac:dyDescent="0.3">
      <c r="B162" s="109"/>
      <c r="C162" s="142" t="s">
        <v>71</v>
      </c>
      <c r="D162" s="143" t="str">
        <f>CONCATENATE("var. ",RIGHT(C161,2),"/",RIGHT(C161-1,2))</f>
        <v>var. 20/19</v>
      </c>
      <c r="E162" s="144" t="s">
        <v>71</v>
      </c>
      <c r="F162" s="143" t="s">
        <v>251</v>
      </c>
      <c r="G162" s="144" t="s">
        <v>71</v>
      </c>
      <c r="H162" s="143" t="s">
        <v>251</v>
      </c>
      <c r="I162" s="144" t="s">
        <v>71</v>
      </c>
      <c r="J162" s="143" t="s">
        <v>251</v>
      </c>
      <c r="K162" s="144" t="s">
        <v>71</v>
      </c>
      <c r="L162" s="143" t="s">
        <v>251</v>
      </c>
      <c r="M162" s="144" t="s">
        <v>71</v>
      </c>
      <c r="N162" s="143" t="s">
        <v>277</v>
      </c>
    </row>
    <row r="163" spans="2:14" x14ac:dyDescent="0.25">
      <c r="B163" s="145" t="s">
        <v>73</v>
      </c>
      <c r="C163" s="146">
        <v>7789</v>
      </c>
      <c r="D163" s="147">
        <v>-0.20939910678034912</v>
      </c>
      <c r="E163" s="146">
        <v>6021</v>
      </c>
      <c r="F163" s="147">
        <f t="shared" ref="F163:L175" si="18">IFERROR(E163/C163-1,"-")</f>
        <v>-0.22698677622287844</v>
      </c>
      <c r="G163" s="146">
        <v>8832</v>
      </c>
      <c r="H163" s="147">
        <f t="shared" si="18"/>
        <v>0.46686596910812161</v>
      </c>
      <c r="I163" s="146">
        <v>11164</v>
      </c>
      <c r="J163" s="147">
        <f t="shared" si="18"/>
        <v>0.26403985507246386</v>
      </c>
      <c r="K163" s="146">
        <v>11995</v>
      </c>
      <c r="L163" s="147">
        <f t="shared" si="18"/>
        <v>7.4435686134002088E-2</v>
      </c>
      <c r="M163" s="146">
        <v>11295</v>
      </c>
      <c r="N163" s="147">
        <f t="shared" ref="N163:N171" si="19">IFERROR(M163/K163-1,"-")</f>
        <v>-5.8357649020425173E-2</v>
      </c>
    </row>
    <row r="164" spans="2:14" x14ac:dyDescent="0.25">
      <c r="B164" s="145" t="s">
        <v>75</v>
      </c>
      <c r="C164" s="146">
        <v>9927</v>
      </c>
      <c r="D164" s="147">
        <v>-7.5870415192701546E-2</v>
      </c>
      <c r="E164" s="146">
        <v>4300</v>
      </c>
      <c r="F164" s="147">
        <f t="shared" si="18"/>
        <v>-0.56683791679258588</v>
      </c>
      <c r="G164" s="146">
        <v>17087</v>
      </c>
      <c r="H164" s="147">
        <f t="shared" si="18"/>
        <v>2.9737209302325582</v>
      </c>
      <c r="I164" s="146">
        <v>13725</v>
      </c>
      <c r="J164" s="147">
        <f t="shared" si="18"/>
        <v>-0.19675776906420084</v>
      </c>
      <c r="K164" s="146">
        <v>12570</v>
      </c>
      <c r="L164" s="147">
        <f t="shared" si="18"/>
        <v>-8.4153005464480901E-2</v>
      </c>
      <c r="M164" s="146">
        <v>14802</v>
      </c>
      <c r="N164" s="147">
        <f t="shared" si="19"/>
        <v>0.17756563245823398</v>
      </c>
    </row>
    <row r="165" spans="2:14" x14ac:dyDescent="0.25">
      <c r="B165" s="145" t="s">
        <v>77</v>
      </c>
      <c r="C165" s="146">
        <v>5151</v>
      </c>
      <c r="D165" s="147">
        <v>-0.46836618846114153</v>
      </c>
      <c r="E165" s="146">
        <v>4791</v>
      </c>
      <c r="F165" s="147">
        <f t="shared" si="18"/>
        <v>-6.9889341875363997E-2</v>
      </c>
      <c r="G165" s="146">
        <v>13393</v>
      </c>
      <c r="H165" s="147">
        <f t="shared" si="18"/>
        <v>1.7954498017115426</v>
      </c>
      <c r="I165" s="146">
        <v>12285</v>
      </c>
      <c r="J165" s="147">
        <f t="shared" si="18"/>
        <v>-8.2729784215635038E-2</v>
      </c>
      <c r="K165" s="146">
        <v>17270</v>
      </c>
      <c r="L165" s="147">
        <f t="shared" si="18"/>
        <v>0.40577940577940574</v>
      </c>
      <c r="M165" s="146">
        <v>13070</v>
      </c>
      <c r="N165" s="147">
        <f t="shared" si="19"/>
        <v>-0.24319629415170818</v>
      </c>
    </row>
    <row r="166" spans="2:14" x14ac:dyDescent="0.25">
      <c r="B166" s="145" t="s">
        <v>79</v>
      </c>
      <c r="C166" s="146">
        <v>0</v>
      </c>
      <c r="D166" s="147">
        <v>-1</v>
      </c>
      <c r="E166" s="146">
        <v>1921</v>
      </c>
      <c r="F166" s="147" t="str">
        <f t="shared" si="18"/>
        <v>-</v>
      </c>
      <c r="G166" s="146">
        <v>16101</v>
      </c>
      <c r="H166" s="147">
        <f t="shared" si="18"/>
        <v>7.3815720978656945</v>
      </c>
      <c r="I166" s="146">
        <v>17559</v>
      </c>
      <c r="J166" s="147">
        <f t="shared" si="18"/>
        <v>9.0553381777529252E-2</v>
      </c>
      <c r="K166" s="146">
        <v>18946</v>
      </c>
      <c r="L166" s="147">
        <f t="shared" si="18"/>
        <v>7.8990830912922139E-2</v>
      </c>
      <c r="M166" s="146">
        <v>13583</v>
      </c>
      <c r="N166" s="147">
        <f t="shared" si="19"/>
        <v>-0.28306766599809985</v>
      </c>
    </row>
    <row r="167" spans="2:14" x14ac:dyDescent="0.25">
      <c r="B167" s="145" t="s">
        <v>81</v>
      </c>
      <c r="C167" s="146">
        <v>0</v>
      </c>
      <c r="D167" s="147">
        <v>-1</v>
      </c>
      <c r="E167" s="146">
        <v>3880</v>
      </c>
      <c r="F167" s="147" t="str">
        <f t="shared" si="18"/>
        <v>-</v>
      </c>
      <c r="G167" s="146">
        <v>15637</v>
      </c>
      <c r="H167" s="147">
        <f t="shared" si="18"/>
        <v>3.0301546391752581</v>
      </c>
      <c r="I167" s="146">
        <v>15901</v>
      </c>
      <c r="J167" s="147">
        <f t="shared" si="18"/>
        <v>1.6883033830018546E-2</v>
      </c>
      <c r="K167" s="146">
        <v>17473</v>
      </c>
      <c r="L167" s="147">
        <f t="shared" si="18"/>
        <v>9.8861706810892347E-2</v>
      </c>
      <c r="M167" s="146">
        <v>12618</v>
      </c>
      <c r="N167" s="147">
        <f t="shared" si="19"/>
        <v>-0.27785726549533563</v>
      </c>
    </row>
    <row r="168" spans="2:14" x14ac:dyDescent="0.25">
      <c r="B168" s="145" t="s">
        <v>83</v>
      </c>
      <c r="C168" s="146">
        <v>0</v>
      </c>
      <c r="D168" s="147">
        <v>-1</v>
      </c>
      <c r="E168" s="146">
        <v>2242</v>
      </c>
      <c r="F168" s="147" t="str">
        <f t="shared" si="18"/>
        <v>-</v>
      </c>
      <c r="G168" s="146">
        <v>13362</v>
      </c>
      <c r="H168" s="147">
        <f t="shared" si="18"/>
        <v>4.9598572702943802</v>
      </c>
      <c r="I168" s="146">
        <v>11816</v>
      </c>
      <c r="J168" s="147">
        <f t="shared" si="18"/>
        <v>-0.1157012423289927</v>
      </c>
      <c r="K168" s="146">
        <v>11749</v>
      </c>
      <c r="L168" s="147">
        <f t="shared" si="18"/>
        <v>-5.6702775897088387E-3</v>
      </c>
      <c r="M168" s="146">
        <v>12238</v>
      </c>
      <c r="N168" s="147">
        <f t="shared" si="19"/>
        <v>4.1620563452208659E-2</v>
      </c>
    </row>
    <row r="169" spans="2:14" x14ac:dyDescent="0.25">
      <c r="B169" s="145" t="s">
        <v>85</v>
      </c>
      <c r="C169" s="146">
        <v>0</v>
      </c>
      <c r="D169" s="147">
        <v>-1</v>
      </c>
      <c r="E169" s="146">
        <v>7315</v>
      </c>
      <c r="F169" s="147" t="str">
        <f t="shared" si="18"/>
        <v>-</v>
      </c>
      <c r="G169" s="146">
        <v>15174</v>
      </c>
      <c r="H169" s="147">
        <f t="shared" si="18"/>
        <v>1.0743677375256322</v>
      </c>
      <c r="I169" s="146">
        <v>13315</v>
      </c>
      <c r="J169" s="147">
        <f t="shared" si="18"/>
        <v>-0.12251219190720974</v>
      </c>
      <c r="K169" s="146">
        <v>14161</v>
      </c>
      <c r="L169" s="147">
        <f t="shared" si="18"/>
        <v>6.353736387532849E-2</v>
      </c>
      <c r="M169" s="146">
        <v>15027</v>
      </c>
      <c r="N169" s="147">
        <f t="shared" si="19"/>
        <v>6.1153873314031548E-2</v>
      </c>
    </row>
    <row r="170" spans="2:14" x14ac:dyDescent="0.25">
      <c r="B170" s="145" t="s">
        <v>87</v>
      </c>
      <c r="C170" s="146">
        <v>6745</v>
      </c>
      <c r="D170" s="147">
        <v>-0.59416365824308071</v>
      </c>
      <c r="E170" s="146">
        <v>12347</v>
      </c>
      <c r="F170" s="147">
        <f t="shared" si="18"/>
        <v>0.83054114158636017</v>
      </c>
      <c r="G170" s="146">
        <v>18095</v>
      </c>
      <c r="H170" s="147">
        <f t="shared" si="18"/>
        <v>0.46553818741394681</v>
      </c>
      <c r="I170" s="146">
        <v>16431</v>
      </c>
      <c r="J170" s="147">
        <f t="shared" si="18"/>
        <v>-9.1959104725062191E-2</v>
      </c>
      <c r="K170" s="146">
        <v>16901</v>
      </c>
      <c r="L170" s="147">
        <f t="shared" si="18"/>
        <v>2.8604467165723291E-2</v>
      </c>
      <c r="M170" s="146">
        <v>16604</v>
      </c>
      <c r="N170" s="147">
        <f t="shared" si="19"/>
        <v>-1.7572924679013058E-2</v>
      </c>
    </row>
    <row r="171" spans="2:14" x14ac:dyDescent="0.25">
      <c r="B171" s="145" t="s">
        <v>89</v>
      </c>
      <c r="C171" s="146">
        <v>2045</v>
      </c>
      <c r="D171" s="147">
        <v>-0.80853852635521017</v>
      </c>
      <c r="E171" s="146">
        <v>8592</v>
      </c>
      <c r="F171" s="147">
        <f t="shared" si="18"/>
        <v>3.2014669926650363</v>
      </c>
      <c r="G171" s="146">
        <v>11521</v>
      </c>
      <c r="H171" s="147">
        <f t="shared" si="18"/>
        <v>0.34089851024208562</v>
      </c>
      <c r="I171" s="146">
        <v>13438</v>
      </c>
      <c r="J171" s="147">
        <f t="shared" si="18"/>
        <v>0.16639180626681704</v>
      </c>
      <c r="K171" s="146">
        <v>10957</v>
      </c>
      <c r="L171" s="147">
        <f t="shared" si="18"/>
        <v>-0.18462568834648008</v>
      </c>
      <c r="M171" s="146">
        <v>12394</v>
      </c>
      <c r="N171" s="147">
        <f t="shared" si="19"/>
        <v>0.13114903714520398</v>
      </c>
    </row>
    <row r="172" spans="2:14" x14ac:dyDescent="0.25">
      <c r="B172" s="145" t="s">
        <v>91</v>
      </c>
      <c r="C172" s="146">
        <v>5235</v>
      </c>
      <c r="D172" s="147">
        <v>-0.59702871218535902</v>
      </c>
      <c r="E172" s="146">
        <v>16798</v>
      </c>
      <c r="F172" s="147">
        <f t="shared" si="18"/>
        <v>2.2087870105062084</v>
      </c>
      <c r="G172" s="146">
        <v>17416</v>
      </c>
      <c r="H172" s="147">
        <f t="shared" si="18"/>
        <v>3.6790094058816614E-2</v>
      </c>
      <c r="I172" s="146">
        <v>15664</v>
      </c>
      <c r="J172" s="147">
        <f t="shared" si="18"/>
        <v>-0.10059715204409736</v>
      </c>
      <c r="K172" s="146">
        <v>17244</v>
      </c>
      <c r="L172" s="147">
        <f t="shared" si="18"/>
        <v>0.1008682328907049</v>
      </c>
      <c r="M172" s="146"/>
      <c r="N172" s="147"/>
    </row>
    <row r="173" spans="2:14" x14ac:dyDescent="0.25">
      <c r="B173" s="145" t="s">
        <v>93</v>
      </c>
      <c r="C173" s="146">
        <v>480</v>
      </c>
      <c r="D173" s="147">
        <v>-0.91957104557640745</v>
      </c>
      <c r="E173" s="146">
        <v>13867</v>
      </c>
      <c r="F173" s="147">
        <f t="shared" si="18"/>
        <v>27.889583333333334</v>
      </c>
      <c r="G173" s="146">
        <v>12685</v>
      </c>
      <c r="H173" s="147">
        <f t="shared" si="18"/>
        <v>-8.5238335616932281E-2</v>
      </c>
      <c r="I173" s="146">
        <v>10572</v>
      </c>
      <c r="J173" s="147">
        <f t="shared" si="18"/>
        <v>-0.16657469452108786</v>
      </c>
      <c r="K173" s="146">
        <v>7982</v>
      </c>
      <c r="L173" s="147">
        <f t="shared" si="18"/>
        <v>-0.24498675747256904</v>
      </c>
      <c r="M173" s="146"/>
      <c r="N173" s="147"/>
    </row>
    <row r="174" spans="2:14" x14ac:dyDescent="0.25">
      <c r="B174" s="145" t="s">
        <v>95</v>
      </c>
      <c r="C174" s="146">
        <v>3888</v>
      </c>
      <c r="D174" s="147">
        <v>-0.44433328569386876</v>
      </c>
      <c r="E174" s="146">
        <v>11942</v>
      </c>
      <c r="F174" s="147">
        <f t="shared" si="18"/>
        <v>2.0715020576131686</v>
      </c>
      <c r="G174" s="146">
        <v>11919</v>
      </c>
      <c r="H174" s="147">
        <f t="shared" si="18"/>
        <v>-1.9259755484843932E-3</v>
      </c>
      <c r="I174" s="146">
        <v>10446</v>
      </c>
      <c r="J174" s="147">
        <f t="shared" si="18"/>
        <v>-0.12358419330480741</v>
      </c>
      <c r="K174" s="146">
        <v>9423</v>
      </c>
      <c r="L174" s="147">
        <f t="shared" si="18"/>
        <v>-9.7932222860425022E-2</v>
      </c>
      <c r="M174" s="146"/>
      <c r="N174" s="147"/>
    </row>
    <row r="175" spans="2:14" ht="15.75" x14ac:dyDescent="0.25">
      <c r="B175" s="148" t="s">
        <v>32</v>
      </c>
      <c r="C175" s="149">
        <v>42455</v>
      </c>
      <c r="D175" s="150">
        <v>-0.68012085411612244</v>
      </c>
      <c r="E175" s="149">
        <v>94016</v>
      </c>
      <c r="F175" s="150">
        <f t="shared" si="18"/>
        <v>1.2144859262748793</v>
      </c>
      <c r="G175" s="149">
        <v>171222</v>
      </c>
      <c r="H175" s="150">
        <f t="shared" si="18"/>
        <v>0.82120064669843429</v>
      </c>
      <c r="I175" s="149">
        <v>162316</v>
      </c>
      <c r="J175" s="150">
        <f t="shared" si="18"/>
        <v>-5.2014343951127806E-2</v>
      </c>
      <c r="K175" s="149">
        <v>166671</v>
      </c>
      <c r="L175" s="150">
        <f t="shared" si="18"/>
        <v>2.6830380245939978E-2</v>
      </c>
      <c r="M175" s="149">
        <v>121631</v>
      </c>
      <c r="N175" s="150">
        <v>-7.870657920649593E-2</v>
      </c>
    </row>
    <row r="176" spans="2:14" ht="6" customHeight="1" x14ac:dyDescent="0.25"/>
    <row r="177" spans="1:15" x14ac:dyDescent="0.25">
      <c r="B177" s="131" t="s">
        <v>57</v>
      </c>
      <c r="C177" s="131"/>
      <c r="D177" s="131"/>
      <c r="E177" s="131"/>
      <c r="F177" s="131"/>
      <c r="G177" s="131"/>
      <c r="H177" s="131"/>
      <c r="I177" s="131"/>
      <c r="J177" s="131"/>
      <c r="K177" s="131"/>
      <c r="L177" s="131"/>
      <c r="M177" s="131"/>
      <c r="N177" s="131"/>
    </row>
    <row r="178" spans="1:15" x14ac:dyDescent="0.25">
      <c r="C178" s="151"/>
      <c r="K178" s="151"/>
      <c r="N178" s="103"/>
    </row>
    <row r="180" spans="1:15" ht="48.75" customHeight="1" thickBot="1" x14ac:dyDescent="0.3">
      <c r="B180" s="12" t="s">
        <v>284</v>
      </c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" t="s">
        <v>119</v>
      </c>
    </row>
    <row r="181" spans="1:15" ht="10.5" customHeight="1" thickBot="1" x14ac:dyDescent="0.3">
      <c r="B181" s="132"/>
      <c r="C181" s="133"/>
      <c r="D181" s="132"/>
      <c r="E181" s="132"/>
      <c r="F181" s="132"/>
      <c r="G181" s="132"/>
      <c r="H181" s="132"/>
      <c r="I181" s="132"/>
      <c r="J181" s="132"/>
      <c r="K181" s="132"/>
      <c r="L181" s="132"/>
      <c r="M181" s="4"/>
      <c r="N181" s="4"/>
      <c r="O181" s="1" t="s">
        <v>120</v>
      </c>
    </row>
    <row r="182" spans="1:15" ht="22.5" thickTop="1" thickBot="1" x14ac:dyDescent="0.3">
      <c r="B182" s="152" t="str">
        <f>C182</f>
        <v>Bélgica</v>
      </c>
      <c r="C182" s="135" t="s">
        <v>121</v>
      </c>
      <c r="D182" s="136"/>
      <c r="E182" s="136"/>
      <c r="F182" s="136"/>
      <c r="G182" s="136"/>
      <c r="H182" s="136"/>
      <c r="I182" s="136"/>
      <c r="J182" s="136"/>
      <c r="K182" s="136"/>
      <c r="L182" s="136"/>
      <c r="M182" s="136"/>
      <c r="N182" s="136"/>
    </row>
    <row r="183" spans="1:15" ht="22.5" thickTop="1" thickBot="1" x14ac:dyDescent="0.3">
      <c r="B183" s="137"/>
      <c r="C183" s="138">
        <f>$C$7</f>
        <v>2020</v>
      </c>
      <c r="D183" s="139"/>
      <c r="E183" s="140">
        <f>$E$7</f>
        <v>2021</v>
      </c>
      <c r="F183" s="139"/>
      <c r="G183" s="140">
        <f>$G$7</f>
        <v>2022</v>
      </c>
      <c r="H183" s="139"/>
      <c r="I183" s="140">
        <f>$I$7</f>
        <v>2023</v>
      </c>
      <c r="J183" s="139"/>
      <c r="K183" s="140">
        <f>$K$7</f>
        <v>2024</v>
      </c>
      <c r="L183" s="139"/>
      <c r="M183" s="140">
        <f>$M$7</f>
        <v>2025</v>
      </c>
      <c r="N183" s="141"/>
    </row>
    <row r="184" spans="1:15" ht="16.5" thickTop="1" thickBot="1" x14ac:dyDescent="0.3">
      <c r="B184" s="109"/>
      <c r="C184" s="142" t="s">
        <v>71</v>
      </c>
      <c r="D184" s="143" t="str">
        <f>CONCATENATE("var. ",RIGHT(C183,2),"/",RIGHT(C183-1,2))</f>
        <v>var. 20/19</v>
      </c>
      <c r="E184" s="144" t="s">
        <v>71</v>
      </c>
      <c r="F184" s="143" t="s">
        <v>251</v>
      </c>
      <c r="G184" s="144" t="s">
        <v>71</v>
      </c>
      <c r="H184" s="143" t="s">
        <v>251</v>
      </c>
      <c r="I184" s="144" t="s">
        <v>71</v>
      </c>
      <c r="J184" s="143" t="s">
        <v>251</v>
      </c>
      <c r="K184" s="144" t="s">
        <v>71</v>
      </c>
      <c r="L184" s="143" t="s">
        <v>251</v>
      </c>
      <c r="M184" s="144" t="s">
        <v>71</v>
      </c>
      <c r="N184" s="143" t="s">
        <v>277</v>
      </c>
    </row>
    <row r="185" spans="1:15" x14ac:dyDescent="0.25">
      <c r="A185" s="151"/>
      <c r="B185" s="145" t="s">
        <v>73</v>
      </c>
      <c r="C185" s="146">
        <v>2917</v>
      </c>
      <c r="D185" s="147">
        <v>-0.1079510703363914</v>
      </c>
      <c r="E185" s="146">
        <v>1104</v>
      </c>
      <c r="F185" s="147">
        <f t="shared" ref="F185:L197" si="20">IFERROR(E185/C185-1,"-")</f>
        <v>-0.62152896811792946</v>
      </c>
      <c r="G185" s="146">
        <v>3577</v>
      </c>
      <c r="H185" s="147">
        <f t="shared" si="20"/>
        <v>2.2400362318840581</v>
      </c>
      <c r="I185" s="146">
        <v>3157</v>
      </c>
      <c r="J185" s="147">
        <f t="shared" si="20"/>
        <v>-0.11741682974559686</v>
      </c>
      <c r="K185" s="146">
        <v>3301</v>
      </c>
      <c r="L185" s="147">
        <f t="shared" si="20"/>
        <v>4.5612923661704219E-2</v>
      </c>
      <c r="M185" s="146">
        <v>2559</v>
      </c>
      <c r="N185" s="147">
        <f t="shared" ref="N185:N193" si="21">IFERROR(M185/K185-1,"-")</f>
        <v>-0.22478036958497427</v>
      </c>
    </row>
    <row r="186" spans="1:15" x14ac:dyDescent="0.25">
      <c r="B186" s="145" t="s">
        <v>75</v>
      </c>
      <c r="C186" s="146">
        <v>2019</v>
      </c>
      <c r="D186" s="147">
        <v>-0.28480340063761955</v>
      </c>
      <c r="E186" s="146">
        <v>155</v>
      </c>
      <c r="F186" s="147">
        <f t="shared" si="20"/>
        <v>-0.92322932144626058</v>
      </c>
      <c r="G186" s="146">
        <v>2176</v>
      </c>
      <c r="H186" s="147">
        <f t="shared" si="20"/>
        <v>13.038709677419355</v>
      </c>
      <c r="I186" s="146">
        <v>3342</v>
      </c>
      <c r="J186" s="147">
        <f t="shared" si="20"/>
        <v>0.53584558823529416</v>
      </c>
      <c r="K186" s="146">
        <v>3536</v>
      </c>
      <c r="L186" s="147">
        <f t="shared" si="20"/>
        <v>5.8049072411729519E-2</v>
      </c>
      <c r="M186" s="146">
        <v>2201</v>
      </c>
      <c r="N186" s="147">
        <f t="shared" si="21"/>
        <v>-0.37754524886877827</v>
      </c>
    </row>
    <row r="187" spans="1:15" x14ac:dyDescent="0.25">
      <c r="B187" s="145" t="s">
        <v>77</v>
      </c>
      <c r="C187" s="146">
        <v>1630</v>
      </c>
      <c r="D187" s="147">
        <v>-0.5214327657075748</v>
      </c>
      <c r="E187" s="146">
        <v>105</v>
      </c>
      <c r="F187" s="147">
        <f t="shared" si="20"/>
        <v>-0.93558282208588961</v>
      </c>
      <c r="G187" s="146">
        <v>2516</v>
      </c>
      <c r="H187" s="147">
        <f t="shared" si="20"/>
        <v>22.961904761904762</v>
      </c>
      <c r="I187" s="146">
        <v>2951</v>
      </c>
      <c r="J187" s="147">
        <f t="shared" si="20"/>
        <v>0.17289348171701113</v>
      </c>
      <c r="K187" s="146">
        <v>4561</v>
      </c>
      <c r="L187" s="147">
        <f t="shared" si="20"/>
        <v>0.54557777024737386</v>
      </c>
      <c r="M187" s="146">
        <v>2940</v>
      </c>
      <c r="N187" s="147">
        <f t="shared" si="21"/>
        <v>-0.35540451655338745</v>
      </c>
    </row>
    <row r="188" spans="1:15" x14ac:dyDescent="0.25">
      <c r="B188" s="145" t="s">
        <v>79</v>
      </c>
      <c r="C188" s="146">
        <v>0</v>
      </c>
      <c r="D188" s="147">
        <v>-1</v>
      </c>
      <c r="E188" s="146">
        <v>172</v>
      </c>
      <c r="F188" s="147" t="str">
        <f t="shared" si="20"/>
        <v>-</v>
      </c>
      <c r="G188" s="146">
        <v>3467</v>
      </c>
      <c r="H188" s="147">
        <f t="shared" si="20"/>
        <v>19.156976744186046</v>
      </c>
      <c r="I188" s="146">
        <v>2782</v>
      </c>
      <c r="J188" s="147">
        <f t="shared" si="20"/>
        <v>-0.19757715604268822</v>
      </c>
      <c r="K188" s="146">
        <v>3507</v>
      </c>
      <c r="L188" s="147">
        <f t="shared" si="20"/>
        <v>0.26060388209920915</v>
      </c>
      <c r="M188" s="146">
        <v>3393</v>
      </c>
      <c r="N188" s="147">
        <f t="shared" si="21"/>
        <v>-3.2506415739948724E-2</v>
      </c>
    </row>
    <row r="189" spans="1:15" x14ac:dyDescent="0.25">
      <c r="B189" s="145" t="s">
        <v>81</v>
      </c>
      <c r="C189" s="146">
        <v>0</v>
      </c>
      <c r="D189" s="147">
        <v>-1</v>
      </c>
      <c r="E189" s="146">
        <v>579</v>
      </c>
      <c r="F189" s="147" t="str">
        <f t="shared" si="20"/>
        <v>-</v>
      </c>
      <c r="G189" s="146">
        <v>1313</v>
      </c>
      <c r="H189" s="147">
        <f t="shared" si="20"/>
        <v>1.2677029360967187</v>
      </c>
      <c r="I189" s="146">
        <v>3918</v>
      </c>
      <c r="J189" s="147">
        <f t="shared" si="20"/>
        <v>1.9840060929169838</v>
      </c>
      <c r="K189" s="146">
        <v>4860</v>
      </c>
      <c r="L189" s="147">
        <f t="shared" si="20"/>
        <v>0.24042879019908114</v>
      </c>
      <c r="M189" s="146">
        <v>2524</v>
      </c>
      <c r="N189" s="147">
        <f t="shared" si="21"/>
        <v>-0.48065843621399174</v>
      </c>
    </row>
    <row r="190" spans="1:15" x14ac:dyDescent="0.25">
      <c r="B190" s="145" t="s">
        <v>122</v>
      </c>
      <c r="C190" s="146">
        <v>0</v>
      </c>
      <c r="D190" s="147">
        <v>-1</v>
      </c>
      <c r="E190" s="146">
        <v>585</v>
      </c>
      <c r="F190" s="147" t="str">
        <f t="shared" si="20"/>
        <v>-</v>
      </c>
      <c r="G190" s="146">
        <v>1664</v>
      </c>
      <c r="H190" s="147">
        <f t="shared" si="20"/>
        <v>1.8444444444444446</v>
      </c>
      <c r="I190" s="146">
        <v>2826</v>
      </c>
      <c r="J190" s="147">
        <f t="shared" si="20"/>
        <v>0.69831730769230771</v>
      </c>
      <c r="K190" s="146">
        <v>4328</v>
      </c>
      <c r="L190" s="147">
        <f t="shared" si="20"/>
        <v>0.53149327671620661</v>
      </c>
      <c r="M190" s="146">
        <v>2367</v>
      </c>
      <c r="N190" s="147">
        <f t="shared" si="21"/>
        <v>-0.45309611829944552</v>
      </c>
    </row>
    <row r="191" spans="1:15" x14ac:dyDescent="0.25">
      <c r="B191" s="145" t="s">
        <v>85</v>
      </c>
      <c r="C191" s="146">
        <v>0</v>
      </c>
      <c r="D191" s="147">
        <v>-1</v>
      </c>
      <c r="E191" s="146">
        <v>1857</v>
      </c>
      <c r="F191" s="147" t="str">
        <f t="shared" si="20"/>
        <v>-</v>
      </c>
      <c r="G191" s="146">
        <v>4163</v>
      </c>
      <c r="H191" s="147">
        <f t="shared" si="20"/>
        <v>1.241787829833064</v>
      </c>
      <c r="I191" s="146">
        <v>4579</v>
      </c>
      <c r="J191" s="147">
        <f t="shared" si="20"/>
        <v>9.9927936584194077E-2</v>
      </c>
      <c r="K191" s="146">
        <v>4658</v>
      </c>
      <c r="L191" s="147">
        <f t="shared" si="20"/>
        <v>1.7252675256606231E-2</v>
      </c>
      <c r="M191" s="146">
        <v>4292</v>
      </c>
      <c r="N191" s="147">
        <f t="shared" si="21"/>
        <v>-7.8574495491627316E-2</v>
      </c>
    </row>
    <row r="192" spans="1:15" x14ac:dyDescent="0.25">
      <c r="B192" s="145" t="s">
        <v>87</v>
      </c>
      <c r="C192" s="146">
        <v>2699</v>
      </c>
      <c r="D192" s="147">
        <v>-0.297501301405518</v>
      </c>
      <c r="E192" s="146">
        <v>2890</v>
      </c>
      <c r="F192" s="147">
        <f t="shared" si="20"/>
        <v>7.076695072248973E-2</v>
      </c>
      <c r="G192" s="146">
        <v>2347</v>
      </c>
      <c r="H192" s="147">
        <f t="shared" si="20"/>
        <v>-0.18788927335640138</v>
      </c>
      <c r="I192" s="146">
        <v>3754</v>
      </c>
      <c r="J192" s="147">
        <f t="shared" si="20"/>
        <v>0.59948870899020035</v>
      </c>
      <c r="K192" s="146">
        <v>3150</v>
      </c>
      <c r="L192" s="147">
        <f t="shared" si="20"/>
        <v>-0.16089504528502929</v>
      </c>
      <c r="M192" s="146">
        <v>2359</v>
      </c>
      <c r="N192" s="147">
        <f t="shared" si="21"/>
        <v>-0.25111111111111106</v>
      </c>
    </row>
    <row r="193" spans="2:15" x14ac:dyDescent="0.25">
      <c r="B193" s="145" t="s">
        <v>89</v>
      </c>
      <c r="C193" s="146">
        <v>1017</v>
      </c>
      <c r="D193" s="147">
        <v>-0.7048752176436448</v>
      </c>
      <c r="E193" s="146">
        <v>3158</v>
      </c>
      <c r="F193" s="147">
        <f t="shared" si="20"/>
        <v>2.105211406096362</v>
      </c>
      <c r="G193" s="146">
        <v>2357</v>
      </c>
      <c r="H193" s="147">
        <f t="shared" si="20"/>
        <v>-0.25364154528182392</v>
      </c>
      <c r="I193" s="146">
        <v>2600</v>
      </c>
      <c r="J193" s="147">
        <f t="shared" si="20"/>
        <v>0.10309715740347891</v>
      </c>
      <c r="K193" s="146">
        <v>1713</v>
      </c>
      <c r="L193" s="147">
        <f t="shared" si="20"/>
        <v>-0.34115384615384614</v>
      </c>
      <c r="M193" s="146">
        <v>1481</v>
      </c>
      <c r="N193" s="147">
        <f t="shared" si="21"/>
        <v>-0.13543490951546988</v>
      </c>
    </row>
    <row r="194" spans="2:15" x14ac:dyDescent="0.25">
      <c r="B194" s="145" t="s">
        <v>91</v>
      </c>
      <c r="C194" s="146">
        <v>641</v>
      </c>
      <c r="D194" s="147">
        <v>-0.73347193347193351</v>
      </c>
      <c r="E194" s="146">
        <v>2408</v>
      </c>
      <c r="F194" s="147">
        <f t="shared" si="20"/>
        <v>2.7566302652106085</v>
      </c>
      <c r="G194" s="146">
        <v>2416</v>
      </c>
      <c r="H194" s="147">
        <f t="shared" si="20"/>
        <v>3.3222591362125353E-3</v>
      </c>
      <c r="I194" s="146">
        <v>3994</v>
      </c>
      <c r="J194" s="147">
        <f t="shared" si="20"/>
        <v>0.6531456953642385</v>
      </c>
      <c r="K194" s="146">
        <v>2226</v>
      </c>
      <c r="L194" s="147">
        <f t="shared" si="20"/>
        <v>-0.44266399599399098</v>
      </c>
      <c r="M194" s="146"/>
      <c r="N194" s="147"/>
    </row>
    <row r="195" spans="2:15" x14ac:dyDescent="0.25">
      <c r="B195" s="145" t="s">
        <v>93</v>
      </c>
      <c r="C195" s="146">
        <v>395</v>
      </c>
      <c r="D195" s="147">
        <v>-0.85887817077527684</v>
      </c>
      <c r="E195" s="146">
        <v>4664</v>
      </c>
      <c r="F195" s="147">
        <f t="shared" si="20"/>
        <v>10.807594936708862</v>
      </c>
      <c r="G195" s="146">
        <v>3088</v>
      </c>
      <c r="H195" s="147">
        <f t="shared" si="20"/>
        <v>-0.33790737564322471</v>
      </c>
      <c r="I195" s="146">
        <v>3416</v>
      </c>
      <c r="J195" s="147">
        <f t="shared" si="20"/>
        <v>0.10621761658031081</v>
      </c>
      <c r="K195" s="146">
        <v>2752</v>
      </c>
      <c r="L195" s="147">
        <f t="shared" si="20"/>
        <v>-0.19437939110070257</v>
      </c>
      <c r="M195" s="146"/>
      <c r="N195" s="147"/>
    </row>
    <row r="196" spans="2:15" x14ac:dyDescent="0.25">
      <c r="B196" s="145" t="s">
        <v>95</v>
      </c>
      <c r="C196" s="146">
        <v>659</v>
      </c>
      <c r="D196" s="147">
        <v>-0.82552290177389465</v>
      </c>
      <c r="E196" s="146">
        <v>3131</v>
      </c>
      <c r="F196" s="147">
        <f t="shared" si="20"/>
        <v>3.7511380880121399</v>
      </c>
      <c r="G196" s="146">
        <v>3054</v>
      </c>
      <c r="H196" s="147">
        <f t="shared" si="20"/>
        <v>-2.459278185883107E-2</v>
      </c>
      <c r="I196" s="146">
        <v>3610</v>
      </c>
      <c r="J196" s="147">
        <f t="shared" si="20"/>
        <v>0.18205631958087753</v>
      </c>
      <c r="K196" s="146">
        <v>3325</v>
      </c>
      <c r="L196" s="147">
        <f t="shared" si="20"/>
        <v>-7.8947368421052655E-2</v>
      </c>
      <c r="M196" s="146"/>
      <c r="N196" s="147"/>
    </row>
    <row r="197" spans="2:15" ht="15.75" x14ac:dyDescent="0.25">
      <c r="B197" s="148" t="s">
        <v>32</v>
      </c>
      <c r="C197" s="149">
        <v>12571</v>
      </c>
      <c r="D197" s="150">
        <v>-0.67927031509121061</v>
      </c>
      <c r="E197" s="149">
        <v>20808</v>
      </c>
      <c r="F197" s="150">
        <f t="shared" si="20"/>
        <v>0.65523824675841214</v>
      </c>
      <c r="G197" s="149">
        <v>32138</v>
      </c>
      <c r="H197" s="150">
        <f t="shared" si="20"/>
        <v>0.5445021145713187</v>
      </c>
      <c r="I197" s="149">
        <v>40929</v>
      </c>
      <c r="J197" s="150">
        <f t="shared" si="20"/>
        <v>0.27353911257701169</v>
      </c>
      <c r="K197" s="149">
        <v>41917</v>
      </c>
      <c r="L197" s="150">
        <f t="shared" si="20"/>
        <v>2.4139363287644544E-2</v>
      </c>
      <c r="M197" s="149">
        <v>24116</v>
      </c>
      <c r="N197" s="150">
        <v>-0.28256083774617724</v>
      </c>
    </row>
    <row r="198" spans="2:15" ht="6" customHeight="1" x14ac:dyDescent="0.25"/>
    <row r="199" spans="2:15" x14ac:dyDescent="0.25">
      <c r="B199" s="131" t="s">
        <v>57</v>
      </c>
      <c r="C199" s="131"/>
      <c r="D199" s="131"/>
      <c r="E199" s="131"/>
      <c r="F199" s="131"/>
      <c r="G199" s="131"/>
      <c r="H199" s="131"/>
      <c r="I199" s="131"/>
      <c r="J199" s="131"/>
      <c r="K199" s="131"/>
      <c r="L199" s="131"/>
      <c r="M199" s="131"/>
      <c r="N199" s="131"/>
    </row>
    <row r="200" spans="2:15" x14ac:dyDescent="0.25">
      <c r="C200" s="151"/>
      <c r="K200" s="151"/>
      <c r="N200" s="103"/>
    </row>
    <row r="202" spans="2:15" ht="48.75" customHeight="1" thickBot="1" x14ac:dyDescent="0.3">
      <c r="B202" s="12" t="s">
        <v>285</v>
      </c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" t="s">
        <v>123</v>
      </c>
    </row>
    <row r="203" spans="2:15" ht="10.5" customHeight="1" thickBot="1" x14ac:dyDescent="0.3">
      <c r="B203" s="132"/>
      <c r="C203" s="133"/>
      <c r="D203" s="132"/>
      <c r="E203" s="132"/>
      <c r="F203" s="132"/>
      <c r="G203" s="132"/>
      <c r="H203" s="132"/>
      <c r="I203" s="132"/>
      <c r="J203" s="132"/>
      <c r="K203" s="132"/>
      <c r="L203" s="132"/>
      <c r="M203" s="4"/>
      <c r="N203" s="4"/>
      <c r="O203" s="1" t="s">
        <v>124</v>
      </c>
    </row>
    <row r="204" spans="2:15" ht="22.5" thickTop="1" thickBot="1" x14ac:dyDescent="0.3">
      <c r="B204" s="152" t="str">
        <f>C204</f>
        <v>Países Bajos</v>
      </c>
      <c r="C204" s="135" t="s">
        <v>125</v>
      </c>
      <c r="D204" s="136"/>
      <c r="E204" s="136"/>
      <c r="F204" s="136"/>
      <c r="G204" s="136"/>
      <c r="H204" s="136"/>
      <c r="I204" s="136"/>
      <c r="J204" s="136"/>
      <c r="K204" s="136"/>
      <c r="L204" s="136"/>
      <c r="M204" s="136"/>
      <c r="N204" s="136"/>
    </row>
    <row r="205" spans="2:15" ht="22.5" thickTop="1" thickBot="1" x14ac:dyDescent="0.3">
      <c r="B205" s="137"/>
      <c r="C205" s="138">
        <f>$C$7</f>
        <v>2020</v>
      </c>
      <c r="D205" s="139"/>
      <c r="E205" s="140">
        <f>$E$7</f>
        <v>2021</v>
      </c>
      <c r="F205" s="139"/>
      <c r="G205" s="140">
        <f>$G$7</f>
        <v>2022</v>
      </c>
      <c r="H205" s="139"/>
      <c r="I205" s="140">
        <f>$I$7</f>
        <v>2023</v>
      </c>
      <c r="J205" s="139"/>
      <c r="K205" s="140">
        <f>$K$7</f>
        <v>2024</v>
      </c>
      <c r="L205" s="139"/>
      <c r="M205" s="140">
        <f>$M$7</f>
        <v>2025</v>
      </c>
      <c r="N205" s="141"/>
    </row>
    <row r="206" spans="2:15" ht="16.5" thickTop="1" thickBot="1" x14ac:dyDescent="0.3">
      <c r="B206" s="109"/>
      <c r="C206" s="142" t="s">
        <v>71</v>
      </c>
      <c r="D206" s="143" t="str">
        <f>CONCATENATE("var. ",RIGHT(C205,2),"/",RIGHT(C205-1,2))</f>
        <v>var. 20/19</v>
      </c>
      <c r="E206" s="144" t="s">
        <v>71</v>
      </c>
      <c r="F206" s="143" t="s">
        <v>251</v>
      </c>
      <c r="G206" s="144" t="s">
        <v>71</v>
      </c>
      <c r="H206" s="143" t="s">
        <v>251</v>
      </c>
      <c r="I206" s="144" t="s">
        <v>71</v>
      </c>
      <c r="J206" s="143" t="s">
        <v>251</v>
      </c>
      <c r="K206" s="144" t="s">
        <v>71</v>
      </c>
      <c r="L206" s="143" t="s">
        <v>251</v>
      </c>
      <c r="M206" s="144" t="s">
        <v>71</v>
      </c>
      <c r="N206" s="143" t="s">
        <v>277</v>
      </c>
    </row>
    <row r="207" spans="2:15" x14ac:dyDescent="0.25">
      <c r="B207" s="145" t="s">
        <v>73</v>
      </c>
      <c r="C207" s="146">
        <v>2259</v>
      </c>
      <c r="D207" s="147">
        <v>-9.0945674044265568E-2</v>
      </c>
      <c r="E207" s="146">
        <v>192</v>
      </c>
      <c r="F207" s="147">
        <f t="shared" ref="F207:L219" si="22">IFERROR(E207/C207-1,"-")</f>
        <v>-0.91500664010624166</v>
      </c>
      <c r="G207" s="146">
        <v>5030</v>
      </c>
      <c r="H207" s="147">
        <f t="shared" si="22"/>
        <v>25.197916666666668</v>
      </c>
      <c r="I207" s="146">
        <v>5017</v>
      </c>
      <c r="J207" s="147">
        <f t="shared" si="22"/>
        <v>-2.5844930417494583E-3</v>
      </c>
      <c r="K207" s="146">
        <v>5560</v>
      </c>
      <c r="L207" s="147">
        <f t="shared" si="22"/>
        <v>0.10823201116204895</v>
      </c>
      <c r="M207" s="146">
        <v>4517</v>
      </c>
      <c r="N207" s="147">
        <f t="shared" ref="N207:N215" si="23">IFERROR(M207/K207-1,"-")</f>
        <v>-0.18758992805755392</v>
      </c>
    </row>
    <row r="208" spans="2:15" x14ac:dyDescent="0.25">
      <c r="B208" s="145" t="s">
        <v>75</v>
      </c>
      <c r="C208" s="146">
        <v>1854</v>
      </c>
      <c r="D208" s="147">
        <v>-0.32311062431544357</v>
      </c>
      <c r="E208" s="146">
        <v>123</v>
      </c>
      <c r="F208" s="147">
        <f t="shared" si="22"/>
        <v>-0.93365695792880254</v>
      </c>
      <c r="G208" s="146">
        <v>4398</v>
      </c>
      <c r="H208" s="147">
        <f t="shared" si="22"/>
        <v>34.756097560975611</v>
      </c>
      <c r="I208" s="146">
        <v>4633</v>
      </c>
      <c r="J208" s="147">
        <f t="shared" si="22"/>
        <v>5.3433378808549259E-2</v>
      </c>
      <c r="K208" s="146">
        <v>6436</v>
      </c>
      <c r="L208" s="147">
        <f t="shared" si="22"/>
        <v>0.38916468810705807</v>
      </c>
      <c r="M208" s="146">
        <v>4373</v>
      </c>
      <c r="N208" s="147">
        <f t="shared" si="23"/>
        <v>-0.32054070851460537</v>
      </c>
    </row>
    <row r="209" spans="2:15" x14ac:dyDescent="0.25">
      <c r="B209" s="145" t="s">
        <v>77</v>
      </c>
      <c r="C209" s="146">
        <v>1287</v>
      </c>
      <c r="D209" s="147">
        <v>-0.52421441774491684</v>
      </c>
      <c r="E209" s="146">
        <v>99</v>
      </c>
      <c r="F209" s="147">
        <f t="shared" si="22"/>
        <v>-0.92307692307692313</v>
      </c>
      <c r="G209" s="146">
        <v>3695</v>
      </c>
      <c r="H209" s="147">
        <f t="shared" si="22"/>
        <v>36.323232323232325</v>
      </c>
      <c r="I209" s="146">
        <v>4750</v>
      </c>
      <c r="J209" s="147">
        <f t="shared" si="22"/>
        <v>0.28552097428958056</v>
      </c>
      <c r="K209" s="146">
        <v>4950</v>
      </c>
      <c r="L209" s="147">
        <f t="shared" si="22"/>
        <v>4.2105263157894646E-2</v>
      </c>
      <c r="M209" s="146">
        <v>4108</v>
      </c>
      <c r="N209" s="147">
        <f t="shared" si="23"/>
        <v>-0.17010101010101009</v>
      </c>
    </row>
    <row r="210" spans="2:15" x14ac:dyDescent="0.25">
      <c r="B210" s="145" t="s">
        <v>79</v>
      </c>
      <c r="C210" s="146">
        <v>0</v>
      </c>
      <c r="D210" s="147">
        <v>-1</v>
      </c>
      <c r="E210" s="146">
        <v>71</v>
      </c>
      <c r="F210" s="147" t="str">
        <f t="shared" si="22"/>
        <v>-</v>
      </c>
      <c r="G210" s="146">
        <v>5717</v>
      </c>
      <c r="H210" s="147">
        <f t="shared" si="22"/>
        <v>79.521126760563376</v>
      </c>
      <c r="I210" s="146">
        <v>7114</v>
      </c>
      <c r="J210" s="147">
        <f t="shared" si="22"/>
        <v>0.24435892950848337</v>
      </c>
      <c r="K210" s="146">
        <v>4758</v>
      </c>
      <c r="L210" s="147">
        <f t="shared" si="22"/>
        <v>-0.3311779589541749</v>
      </c>
      <c r="M210" s="146">
        <v>4247</v>
      </c>
      <c r="N210" s="147">
        <f t="shared" si="23"/>
        <v>-0.10739806641445981</v>
      </c>
    </row>
    <row r="211" spans="2:15" x14ac:dyDescent="0.25">
      <c r="B211" s="145" t="s">
        <v>81</v>
      </c>
      <c r="C211" s="146">
        <v>0</v>
      </c>
      <c r="D211" s="147">
        <v>-1</v>
      </c>
      <c r="E211" s="146">
        <v>171</v>
      </c>
      <c r="F211" s="147" t="str">
        <f t="shared" si="22"/>
        <v>-</v>
      </c>
      <c r="G211" s="146">
        <v>5879</v>
      </c>
      <c r="H211" s="147">
        <f t="shared" si="22"/>
        <v>33.380116959064324</v>
      </c>
      <c r="I211" s="146">
        <v>5786</v>
      </c>
      <c r="J211" s="147">
        <f t="shared" si="22"/>
        <v>-1.5819016839598521E-2</v>
      </c>
      <c r="K211" s="146">
        <v>5717</v>
      </c>
      <c r="L211" s="147">
        <f t="shared" si="22"/>
        <v>-1.1925337020394E-2</v>
      </c>
      <c r="M211" s="146">
        <v>3153</v>
      </c>
      <c r="N211" s="147">
        <f t="shared" si="23"/>
        <v>-0.44848696868987226</v>
      </c>
    </row>
    <row r="212" spans="2:15" x14ac:dyDescent="0.25">
      <c r="B212" s="145" t="s">
        <v>83</v>
      </c>
      <c r="C212" s="146">
        <v>0</v>
      </c>
      <c r="D212" s="147">
        <v>-1</v>
      </c>
      <c r="E212" s="146">
        <v>425</v>
      </c>
      <c r="F212" s="147" t="str">
        <f t="shared" si="22"/>
        <v>-</v>
      </c>
      <c r="G212" s="146">
        <v>4085</v>
      </c>
      <c r="H212" s="147">
        <f t="shared" si="22"/>
        <v>8.6117647058823525</v>
      </c>
      <c r="I212" s="146">
        <v>5430</v>
      </c>
      <c r="J212" s="147">
        <f t="shared" si="22"/>
        <v>0.32925336597307231</v>
      </c>
      <c r="K212" s="146">
        <v>5221</v>
      </c>
      <c r="L212" s="147">
        <f t="shared" si="22"/>
        <v>-3.8489871086556215E-2</v>
      </c>
      <c r="M212" s="146">
        <v>3653</v>
      </c>
      <c r="N212" s="147">
        <f t="shared" si="23"/>
        <v>-0.30032560812104958</v>
      </c>
    </row>
    <row r="213" spans="2:15" x14ac:dyDescent="0.25">
      <c r="B213" s="145" t="s">
        <v>85</v>
      </c>
      <c r="C213" s="146">
        <v>0</v>
      </c>
      <c r="D213" s="147">
        <v>-1</v>
      </c>
      <c r="E213" s="146">
        <v>768</v>
      </c>
      <c r="F213" s="147" t="str">
        <f t="shared" si="22"/>
        <v>-</v>
      </c>
      <c r="G213" s="146">
        <v>6948</v>
      </c>
      <c r="H213" s="147">
        <f t="shared" si="22"/>
        <v>8.046875</v>
      </c>
      <c r="I213" s="146">
        <v>8333</v>
      </c>
      <c r="J213" s="147">
        <f t="shared" si="22"/>
        <v>0.19933793897524477</v>
      </c>
      <c r="K213" s="146">
        <v>5284</v>
      </c>
      <c r="L213" s="147">
        <f t="shared" si="22"/>
        <v>-0.36589463578543147</v>
      </c>
      <c r="M213" s="146">
        <v>5938</v>
      </c>
      <c r="N213" s="147">
        <f t="shared" si="23"/>
        <v>0.12376987130961403</v>
      </c>
    </row>
    <row r="214" spans="2:15" x14ac:dyDescent="0.25">
      <c r="B214" s="145" t="s">
        <v>87</v>
      </c>
      <c r="C214" s="146">
        <v>1357</v>
      </c>
      <c r="D214" s="147">
        <v>-0.6559330628803246</v>
      </c>
      <c r="E214" s="146">
        <v>1257</v>
      </c>
      <c r="F214" s="147">
        <f t="shared" si="22"/>
        <v>-7.3691967575534312E-2</v>
      </c>
      <c r="G214" s="146">
        <v>7259</v>
      </c>
      <c r="H214" s="147">
        <f t="shared" si="22"/>
        <v>4.7748607796340492</v>
      </c>
      <c r="I214" s="146">
        <v>11019</v>
      </c>
      <c r="J214" s="147">
        <f t="shared" si="22"/>
        <v>0.51797768287642931</v>
      </c>
      <c r="K214" s="146">
        <v>4873</v>
      </c>
      <c r="L214" s="147">
        <f t="shared" si="22"/>
        <v>-0.5577638624194573</v>
      </c>
      <c r="M214" s="146">
        <v>5372</v>
      </c>
      <c r="N214" s="147">
        <f t="shared" si="23"/>
        <v>0.10240098501949513</v>
      </c>
    </row>
    <row r="215" spans="2:15" x14ac:dyDescent="0.25">
      <c r="B215" s="145" t="s">
        <v>89</v>
      </c>
      <c r="C215" s="146">
        <v>57</v>
      </c>
      <c r="D215" s="147">
        <v>-0.98171905067350862</v>
      </c>
      <c r="E215" s="146">
        <v>3326</v>
      </c>
      <c r="F215" s="147">
        <f t="shared" si="22"/>
        <v>57.350877192982459</v>
      </c>
      <c r="G215" s="146">
        <v>5770</v>
      </c>
      <c r="H215" s="147">
        <f t="shared" si="22"/>
        <v>0.73481659651232722</v>
      </c>
      <c r="I215" s="146">
        <v>7531</v>
      </c>
      <c r="J215" s="147">
        <f t="shared" si="22"/>
        <v>0.30519930675909879</v>
      </c>
      <c r="K215" s="146">
        <v>3763</v>
      </c>
      <c r="L215" s="147">
        <f t="shared" si="22"/>
        <v>-0.50033196122692869</v>
      </c>
      <c r="M215" s="146">
        <v>4657</v>
      </c>
      <c r="N215" s="147">
        <f t="shared" si="23"/>
        <v>0.23757640180706874</v>
      </c>
    </row>
    <row r="216" spans="2:15" x14ac:dyDescent="0.25">
      <c r="B216" s="145" t="s">
        <v>91</v>
      </c>
      <c r="C216" s="146">
        <v>87</v>
      </c>
      <c r="D216" s="147">
        <v>-0.96919263456090654</v>
      </c>
      <c r="E216" s="146">
        <v>6408</v>
      </c>
      <c r="F216" s="147">
        <f t="shared" si="22"/>
        <v>72.65517241379311</v>
      </c>
      <c r="G216" s="146">
        <v>4458</v>
      </c>
      <c r="H216" s="147">
        <f t="shared" si="22"/>
        <v>-0.30430711610486894</v>
      </c>
      <c r="I216" s="146">
        <v>7404</v>
      </c>
      <c r="J216" s="147">
        <f t="shared" si="22"/>
        <v>0.66083445491251691</v>
      </c>
      <c r="K216" s="146">
        <v>5114</v>
      </c>
      <c r="L216" s="147">
        <f t="shared" si="22"/>
        <v>-0.3092922744462453</v>
      </c>
      <c r="M216" s="146"/>
      <c r="N216" s="147"/>
    </row>
    <row r="217" spans="2:15" x14ac:dyDescent="0.25">
      <c r="B217" s="145" t="s">
        <v>93</v>
      </c>
      <c r="C217" s="146">
        <v>659</v>
      </c>
      <c r="D217" s="147">
        <v>-0.72088098263447686</v>
      </c>
      <c r="E217" s="146">
        <v>5144</v>
      </c>
      <c r="F217" s="147">
        <f t="shared" si="22"/>
        <v>6.8057663125948409</v>
      </c>
      <c r="G217" s="146">
        <v>3763</v>
      </c>
      <c r="H217" s="147">
        <f t="shared" si="22"/>
        <v>-0.26846811819595651</v>
      </c>
      <c r="I217" s="146">
        <v>5727</v>
      </c>
      <c r="J217" s="147">
        <f t="shared" si="22"/>
        <v>0.52192399681105495</v>
      </c>
      <c r="K217" s="146">
        <v>3398</v>
      </c>
      <c r="L217" s="147">
        <f t="shared" si="22"/>
        <v>-0.40667015889645541</v>
      </c>
      <c r="M217" s="146"/>
      <c r="N217" s="147"/>
    </row>
    <row r="218" spans="2:15" x14ac:dyDescent="0.25">
      <c r="B218" s="145" t="s">
        <v>95</v>
      </c>
      <c r="C218" s="146">
        <v>515</v>
      </c>
      <c r="D218" s="147">
        <v>-0.84006211180124224</v>
      </c>
      <c r="E218" s="146">
        <v>4373</v>
      </c>
      <c r="F218" s="147">
        <f t="shared" si="22"/>
        <v>7.4912621359223301</v>
      </c>
      <c r="G218" s="146">
        <v>3879</v>
      </c>
      <c r="H218" s="147">
        <f t="shared" si="22"/>
        <v>-0.11296592728104271</v>
      </c>
      <c r="I218" s="146">
        <v>5808</v>
      </c>
      <c r="J218" s="147">
        <f t="shared" si="22"/>
        <v>0.49729311678267596</v>
      </c>
      <c r="K218" s="146">
        <v>3856</v>
      </c>
      <c r="L218" s="147">
        <f t="shared" si="22"/>
        <v>-0.33608815426997241</v>
      </c>
      <c r="M218" s="146"/>
      <c r="N218" s="147"/>
    </row>
    <row r="219" spans="2:15" ht="15.75" x14ac:dyDescent="0.25">
      <c r="B219" s="148" t="s">
        <v>32</v>
      </c>
      <c r="C219" s="149">
        <v>8958</v>
      </c>
      <c r="D219" s="150">
        <v>-0.76939710652319415</v>
      </c>
      <c r="E219" s="149">
        <v>22357</v>
      </c>
      <c r="F219" s="150">
        <f t="shared" si="22"/>
        <v>1.4957579816923419</v>
      </c>
      <c r="G219" s="149">
        <v>60881</v>
      </c>
      <c r="H219" s="150">
        <f t="shared" si="22"/>
        <v>1.7231292212729792</v>
      </c>
      <c r="I219" s="149">
        <v>78552</v>
      </c>
      <c r="J219" s="150">
        <f t="shared" si="22"/>
        <v>0.29025475928450595</v>
      </c>
      <c r="K219" s="149">
        <v>58930</v>
      </c>
      <c r="L219" s="150">
        <f t="shared" si="22"/>
        <v>-0.24979631327019047</v>
      </c>
      <c r="M219" s="149">
        <v>40018</v>
      </c>
      <c r="N219" s="150">
        <v>-0.14054379107426662</v>
      </c>
    </row>
    <row r="220" spans="2:15" ht="6" customHeight="1" x14ac:dyDescent="0.25"/>
    <row r="221" spans="2:15" x14ac:dyDescent="0.25">
      <c r="B221" s="131" t="s">
        <v>57</v>
      </c>
      <c r="C221" s="131"/>
      <c r="D221" s="131"/>
      <c r="E221" s="131"/>
      <c r="F221" s="131"/>
      <c r="G221" s="131"/>
      <c r="H221" s="131"/>
      <c r="I221" s="131"/>
      <c r="J221" s="131"/>
      <c r="K221" s="131"/>
      <c r="L221" s="131"/>
      <c r="M221" s="131"/>
      <c r="N221" s="131"/>
    </row>
    <row r="222" spans="2:15" x14ac:dyDescent="0.25">
      <c r="C222" s="151"/>
      <c r="K222" s="151"/>
      <c r="N222" s="103"/>
    </row>
    <row r="224" spans="2:15" ht="48.75" customHeight="1" thickBot="1" x14ac:dyDescent="0.3">
      <c r="B224" s="12" t="s">
        <v>286</v>
      </c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" t="s">
        <v>149</v>
      </c>
    </row>
    <row r="225" spans="2:15" ht="10.5" customHeight="1" thickBot="1" x14ac:dyDescent="0.3">
      <c r="B225" s="132"/>
      <c r="C225" s="133"/>
      <c r="D225" s="132"/>
      <c r="E225" s="132"/>
      <c r="F225" s="132"/>
      <c r="G225" s="132"/>
      <c r="H225" s="132"/>
      <c r="I225" s="132"/>
      <c r="J225" s="132"/>
      <c r="K225" s="132"/>
      <c r="L225" s="132"/>
      <c r="M225" s="4"/>
      <c r="N225" s="4"/>
      <c r="O225" s="1" t="s">
        <v>150</v>
      </c>
    </row>
    <row r="226" spans="2:15" ht="22.5" thickTop="1" thickBot="1" x14ac:dyDescent="0.3">
      <c r="B226" s="152" t="str">
        <f>C226</f>
        <v>Dinamarca</v>
      </c>
      <c r="C226" s="135" t="s">
        <v>130</v>
      </c>
      <c r="D226" s="136"/>
      <c r="E226" s="136"/>
      <c r="F226" s="136"/>
      <c r="G226" s="136"/>
      <c r="H226" s="136"/>
      <c r="I226" s="136"/>
      <c r="J226" s="136"/>
      <c r="K226" s="136"/>
      <c r="L226" s="136"/>
      <c r="M226" s="136"/>
      <c r="N226" s="136"/>
    </row>
    <row r="227" spans="2:15" ht="22.5" thickTop="1" thickBot="1" x14ac:dyDescent="0.3">
      <c r="B227" s="137"/>
      <c r="C227" s="138">
        <f>$C$7</f>
        <v>2020</v>
      </c>
      <c r="D227" s="139"/>
      <c r="E227" s="140">
        <f>$E$7</f>
        <v>2021</v>
      </c>
      <c r="F227" s="139"/>
      <c r="G227" s="140">
        <f>$G$7</f>
        <v>2022</v>
      </c>
      <c r="H227" s="139"/>
      <c r="I227" s="140">
        <f>$I$7</f>
        <v>2023</v>
      </c>
      <c r="J227" s="139"/>
      <c r="K227" s="140">
        <f>$K$7</f>
        <v>2024</v>
      </c>
      <c r="L227" s="139"/>
      <c r="M227" s="140">
        <f>$M$7</f>
        <v>2025</v>
      </c>
      <c r="N227" s="141"/>
    </row>
    <row r="228" spans="2:15" ht="16.5" thickTop="1" thickBot="1" x14ac:dyDescent="0.3">
      <c r="B228" s="109"/>
      <c r="C228" s="142" t="s">
        <v>71</v>
      </c>
      <c r="D228" s="143" t="str">
        <f>CONCATENATE("var. ",RIGHT(C227,2),"/",RIGHT(C227-1,2))</f>
        <v>var. 20/19</v>
      </c>
      <c r="E228" s="144" t="s">
        <v>71</v>
      </c>
      <c r="F228" s="143" t="s">
        <v>251</v>
      </c>
      <c r="G228" s="144" t="s">
        <v>71</v>
      </c>
      <c r="H228" s="143" t="s">
        <v>251</v>
      </c>
      <c r="I228" s="144" t="s">
        <v>71</v>
      </c>
      <c r="J228" s="143" t="s">
        <v>251</v>
      </c>
      <c r="K228" s="144" t="s">
        <v>71</v>
      </c>
      <c r="L228" s="143" t="s">
        <v>251</v>
      </c>
      <c r="M228" s="144" t="s">
        <v>71</v>
      </c>
      <c r="N228" s="143" t="s">
        <v>277</v>
      </c>
    </row>
    <row r="229" spans="2:15" x14ac:dyDescent="0.25">
      <c r="B229" s="145" t="s">
        <v>73</v>
      </c>
      <c r="C229" s="146">
        <v>4664</v>
      </c>
      <c r="D229" s="147">
        <v>0.40355100812518807</v>
      </c>
      <c r="E229" s="146">
        <v>95</v>
      </c>
      <c r="F229" s="147">
        <f t="shared" ref="F229:L241" si="24">IFERROR(E229/C229-1,"-")</f>
        <v>-0.97963121783876506</v>
      </c>
      <c r="G229" s="146">
        <v>3368</v>
      </c>
      <c r="H229" s="147">
        <f t="shared" si="24"/>
        <v>34.452631578947368</v>
      </c>
      <c r="I229" s="146">
        <v>6826</v>
      </c>
      <c r="J229" s="147">
        <f t="shared" si="24"/>
        <v>1.0267220902612828</v>
      </c>
      <c r="K229" s="146">
        <v>5393</v>
      </c>
      <c r="L229" s="147">
        <f t="shared" si="24"/>
        <v>-0.20993261060650459</v>
      </c>
      <c r="M229" s="146">
        <v>5194</v>
      </c>
      <c r="N229" s="147">
        <f t="shared" ref="N229:N237" si="25">IFERROR(M229/K229-1,"-")</f>
        <v>-3.6899684776562247E-2</v>
      </c>
    </row>
    <row r="230" spans="2:15" x14ac:dyDescent="0.25">
      <c r="B230" s="145" t="s">
        <v>75</v>
      </c>
      <c r="C230" s="146">
        <v>7381</v>
      </c>
      <c r="D230" s="147">
        <v>1.1106662853874751</v>
      </c>
      <c r="E230" s="146">
        <v>36</v>
      </c>
      <c r="F230" s="147">
        <f t="shared" si="24"/>
        <v>-0.99512261211217989</v>
      </c>
      <c r="G230" s="146">
        <v>3577</v>
      </c>
      <c r="H230" s="147">
        <f t="shared" si="24"/>
        <v>98.361111111111114</v>
      </c>
      <c r="I230" s="146">
        <v>5937</v>
      </c>
      <c r="J230" s="147">
        <f t="shared" si="24"/>
        <v>0.65977075761811577</v>
      </c>
      <c r="K230" s="146">
        <v>5083</v>
      </c>
      <c r="L230" s="147">
        <f t="shared" si="24"/>
        <v>-0.14384369210038739</v>
      </c>
      <c r="M230" s="146">
        <v>4547</v>
      </c>
      <c r="N230" s="147">
        <f t="shared" si="25"/>
        <v>-0.10544953767460163</v>
      </c>
    </row>
    <row r="231" spans="2:15" x14ac:dyDescent="0.25">
      <c r="B231" s="145" t="s">
        <v>77</v>
      </c>
      <c r="C231" s="146">
        <v>3235</v>
      </c>
      <c r="D231" s="147">
        <v>-0.10163843376839765</v>
      </c>
      <c r="E231" s="146">
        <v>3</v>
      </c>
      <c r="F231" s="147">
        <f t="shared" si="24"/>
        <v>-0.9990726429675425</v>
      </c>
      <c r="G231" s="146">
        <v>4011</v>
      </c>
      <c r="H231" s="147">
        <f t="shared" si="24"/>
        <v>1336</v>
      </c>
      <c r="I231" s="146">
        <v>3783</v>
      </c>
      <c r="J231" s="147">
        <f t="shared" si="24"/>
        <v>-5.6843679880329123E-2</v>
      </c>
      <c r="K231" s="146">
        <v>4024</v>
      </c>
      <c r="L231" s="147">
        <f t="shared" si="24"/>
        <v>6.3706053396775042E-2</v>
      </c>
      <c r="M231" s="146">
        <v>5135</v>
      </c>
      <c r="N231" s="147">
        <f t="shared" si="25"/>
        <v>0.27609343936381703</v>
      </c>
    </row>
    <row r="232" spans="2:15" x14ac:dyDescent="0.25">
      <c r="B232" s="145" t="s">
        <v>79</v>
      </c>
      <c r="C232" s="146">
        <v>0</v>
      </c>
      <c r="D232" s="147">
        <v>-1</v>
      </c>
      <c r="E232" s="146">
        <v>0</v>
      </c>
      <c r="F232" s="147" t="str">
        <f t="shared" si="24"/>
        <v>-</v>
      </c>
      <c r="G232" s="146">
        <v>2697</v>
      </c>
      <c r="H232" s="147" t="str">
        <f t="shared" si="24"/>
        <v>-</v>
      </c>
      <c r="I232" s="146">
        <v>1857</v>
      </c>
      <c r="J232" s="147">
        <f t="shared" si="24"/>
        <v>-0.31145717463848721</v>
      </c>
      <c r="K232" s="146">
        <v>1498</v>
      </c>
      <c r="L232" s="147">
        <f t="shared" si="24"/>
        <v>-0.19332256327409802</v>
      </c>
      <c r="M232" s="146">
        <v>2670</v>
      </c>
      <c r="N232" s="147">
        <f t="shared" si="25"/>
        <v>0.78237650200267028</v>
      </c>
    </row>
    <row r="233" spans="2:15" x14ac:dyDescent="0.25">
      <c r="B233" s="145" t="s">
        <v>81</v>
      </c>
      <c r="C233" s="146">
        <v>0</v>
      </c>
      <c r="D233" s="147">
        <v>-1</v>
      </c>
      <c r="E233" s="146">
        <v>46</v>
      </c>
      <c r="F233" s="147" t="str">
        <f t="shared" si="24"/>
        <v>-</v>
      </c>
      <c r="G233" s="146">
        <v>98</v>
      </c>
      <c r="H233" s="147">
        <f t="shared" si="24"/>
        <v>1.1304347826086958</v>
      </c>
      <c r="I233" s="146">
        <v>46</v>
      </c>
      <c r="J233" s="147">
        <f t="shared" si="24"/>
        <v>-0.53061224489795911</v>
      </c>
      <c r="K233" s="146">
        <v>193</v>
      </c>
      <c r="L233" s="147">
        <f t="shared" si="24"/>
        <v>3.1956521739130439</v>
      </c>
      <c r="M233" s="146">
        <v>122</v>
      </c>
      <c r="N233" s="147">
        <f t="shared" si="25"/>
        <v>-0.36787564766839376</v>
      </c>
    </row>
    <row r="234" spans="2:15" x14ac:dyDescent="0.25">
      <c r="B234" s="145" t="s">
        <v>83</v>
      </c>
      <c r="C234" s="146">
        <v>0</v>
      </c>
      <c r="D234" s="147">
        <v>-1</v>
      </c>
      <c r="E234" s="146">
        <v>20</v>
      </c>
      <c r="F234" s="147" t="str">
        <f t="shared" si="24"/>
        <v>-</v>
      </c>
      <c r="G234" s="146">
        <v>86</v>
      </c>
      <c r="H234" s="147">
        <f t="shared" si="24"/>
        <v>3.3</v>
      </c>
      <c r="I234" s="146">
        <v>6</v>
      </c>
      <c r="J234" s="147">
        <f t="shared" si="24"/>
        <v>-0.93023255813953487</v>
      </c>
      <c r="K234" s="146">
        <v>28</v>
      </c>
      <c r="L234" s="147">
        <f t="shared" si="24"/>
        <v>3.666666666666667</v>
      </c>
      <c r="M234" s="146">
        <v>136</v>
      </c>
      <c r="N234" s="147">
        <f t="shared" si="25"/>
        <v>3.8571428571428568</v>
      </c>
    </row>
    <row r="235" spans="2:15" x14ac:dyDescent="0.25">
      <c r="B235" s="145" t="s">
        <v>85</v>
      </c>
      <c r="C235" s="146">
        <v>0</v>
      </c>
      <c r="D235" s="147">
        <v>-1</v>
      </c>
      <c r="E235" s="146">
        <v>222</v>
      </c>
      <c r="F235" s="147" t="str">
        <f t="shared" si="24"/>
        <v>-</v>
      </c>
      <c r="G235" s="146">
        <v>683</v>
      </c>
      <c r="H235" s="147">
        <f t="shared" si="24"/>
        <v>2.0765765765765765</v>
      </c>
      <c r="I235" s="146">
        <v>35</v>
      </c>
      <c r="J235" s="147">
        <f t="shared" si="24"/>
        <v>-0.94875549048316254</v>
      </c>
      <c r="K235" s="146">
        <v>144</v>
      </c>
      <c r="L235" s="147">
        <f t="shared" si="24"/>
        <v>3.1142857142857139</v>
      </c>
      <c r="M235" s="146">
        <v>513</v>
      </c>
      <c r="N235" s="147">
        <f t="shared" si="25"/>
        <v>2.5625</v>
      </c>
    </row>
    <row r="236" spans="2:15" x14ac:dyDescent="0.25">
      <c r="B236" s="145" t="s">
        <v>87</v>
      </c>
      <c r="C236" s="146">
        <v>9</v>
      </c>
      <c r="D236" s="147">
        <v>-0.97280966767371602</v>
      </c>
      <c r="E236" s="146">
        <v>10</v>
      </c>
      <c r="F236" s="147">
        <f t="shared" si="24"/>
        <v>0.11111111111111116</v>
      </c>
      <c r="G236" s="146">
        <v>164</v>
      </c>
      <c r="H236" s="147">
        <f t="shared" si="24"/>
        <v>15.399999999999999</v>
      </c>
      <c r="I236" s="146">
        <v>110</v>
      </c>
      <c r="J236" s="147">
        <f t="shared" si="24"/>
        <v>-0.32926829268292679</v>
      </c>
      <c r="K236" s="146">
        <v>161</v>
      </c>
      <c r="L236" s="147">
        <f t="shared" si="24"/>
        <v>0.46363636363636362</v>
      </c>
      <c r="M236" s="146">
        <v>114</v>
      </c>
      <c r="N236" s="147">
        <f t="shared" si="25"/>
        <v>-0.29192546583850931</v>
      </c>
    </row>
    <row r="237" spans="2:15" x14ac:dyDescent="0.25">
      <c r="B237" s="145" t="s">
        <v>89</v>
      </c>
      <c r="C237" s="146">
        <v>6</v>
      </c>
      <c r="D237" s="147">
        <v>-0.8666666666666667</v>
      </c>
      <c r="E237" s="146">
        <v>20</v>
      </c>
      <c r="F237" s="147">
        <f t="shared" si="24"/>
        <v>2.3333333333333335</v>
      </c>
      <c r="G237" s="146">
        <v>126</v>
      </c>
      <c r="H237" s="147">
        <f t="shared" si="24"/>
        <v>5.3</v>
      </c>
      <c r="I237" s="146">
        <v>46</v>
      </c>
      <c r="J237" s="147">
        <f t="shared" si="24"/>
        <v>-0.63492063492063489</v>
      </c>
      <c r="K237" s="146">
        <v>94</v>
      </c>
      <c r="L237" s="147">
        <f t="shared" si="24"/>
        <v>1.0434782608695654</v>
      </c>
      <c r="M237" s="146">
        <v>167</v>
      </c>
      <c r="N237" s="147">
        <f t="shared" si="25"/>
        <v>0.77659574468085113</v>
      </c>
    </row>
    <row r="238" spans="2:15" x14ac:dyDescent="0.25">
      <c r="B238" s="145" t="s">
        <v>91</v>
      </c>
      <c r="C238" s="146">
        <v>3</v>
      </c>
      <c r="D238" s="147">
        <v>-0.99818840579710144</v>
      </c>
      <c r="E238" s="146">
        <v>1715</v>
      </c>
      <c r="F238" s="147">
        <f t="shared" si="24"/>
        <v>570.66666666666663</v>
      </c>
      <c r="G238" s="146">
        <v>539</v>
      </c>
      <c r="H238" s="147">
        <f t="shared" si="24"/>
        <v>-0.68571428571428572</v>
      </c>
      <c r="I238" s="146">
        <v>545</v>
      </c>
      <c r="J238" s="147">
        <f t="shared" si="24"/>
        <v>1.1131725417439675E-2</v>
      </c>
      <c r="K238" s="146">
        <v>1114</v>
      </c>
      <c r="L238" s="147">
        <f t="shared" si="24"/>
        <v>1.0440366972477064</v>
      </c>
      <c r="M238" s="146"/>
      <c r="N238" s="147"/>
    </row>
    <row r="239" spans="2:15" x14ac:dyDescent="0.25">
      <c r="B239" s="145" t="s">
        <v>93</v>
      </c>
      <c r="C239" s="146">
        <v>11</v>
      </c>
      <c r="D239" s="147">
        <v>-0.99543757776856079</v>
      </c>
      <c r="E239" s="146">
        <v>3877</v>
      </c>
      <c r="F239" s="147">
        <f t="shared" si="24"/>
        <v>351.45454545454544</v>
      </c>
      <c r="G239" s="146">
        <v>5248</v>
      </c>
      <c r="H239" s="147">
        <f t="shared" si="24"/>
        <v>0.35362393603301512</v>
      </c>
      <c r="I239" s="146">
        <v>4889</v>
      </c>
      <c r="J239" s="147">
        <f t="shared" si="24"/>
        <v>-6.8407012195121908E-2</v>
      </c>
      <c r="K239" s="146">
        <v>3947</v>
      </c>
      <c r="L239" s="147">
        <f t="shared" si="24"/>
        <v>-0.19267743914911029</v>
      </c>
      <c r="M239" s="146"/>
      <c r="N239" s="147"/>
    </row>
    <row r="240" spans="2:15" x14ac:dyDescent="0.25">
      <c r="B240" s="145" t="s">
        <v>95</v>
      </c>
      <c r="C240" s="146">
        <v>51</v>
      </c>
      <c r="D240" s="147">
        <v>-0.97949336550060317</v>
      </c>
      <c r="E240" s="146">
        <v>3914</v>
      </c>
      <c r="F240" s="147">
        <f t="shared" si="24"/>
        <v>75.745098039215691</v>
      </c>
      <c r="G240" s="146">
        <v>4094</v>
      </c>
      <c r="H240" s="147">
        <f t="shared" si="24"/>
        <v>4.598875830352589E-2</v>
      </c>
      <c r="I240" s="146">
        <v>4075</v>
      </c>
      <c r="J240" s="147">
        <f t="shared" si="24"/>
        <v>-4.6409379579872567E-3</v>
      </c>
      <c r="K240" s="146">
        <v>4912</v>
      </c>
      <c r="L240" s="147">
        <f t="shared" si="24"/>
        <v>0.20539877300613507</v>
      </c>
      <c r="M240" s="146"/>
      <c r="N240" s="147"/>
    </row>
    <row r="241" spans="2:15" ht="15.75" x14ac:dyDescent="0.25">
      <c r="B241" s="148" t="s">
        <v>32</v>
      </c>
      <c r="C241" s="149">
        <v>15372</v>
      </c>
      <c r="D241" s="150">
        <v>-0.17713184519030034</v>
      </c>
      <c r="E241" s="149">
        <v>9958</v>
      </c>
      <c r="F241" s="150">
        <f t="shared" si="24"/>
        <v>-0.35219880301847517</v>
      </c>
      <c r="G241" s="149">
        <v>24691</v>
      </c>
      <c r="H241" s="150">
        <f t="shared" si="24"/>
        <v>1.4795139586262303</v>
      </c>
      <c r="I241" s="149">
        <v>28155</v>
      </c>
      <c r="J241" s="150">
        <f t="shared" si="24"/>
        <v>0.14029403426349685</v>
      </c>
      <c r="K241" s="149">
        <v>26591</v>
      </c>
      <c r="L241" s="150">
        <f t="shared" si="24"/>
        <v>-5.554963594388207E-2</v>
      </c>
      <c r="M241" s="149">
        <v>18598</v>
      </c>
      <c r="N241" s="150">
        <v>0.11914791190275609</v>
      </c>
    </row>
    <row r="242" spans="2:15" ht="6" customHeight="1" x14ac:dyDescent="0.25"/>
    <row r="243" spans="2:15" x14ac:dyDescent="0.25">
      <c r="B243" s="131" t="s">
        <v>57</v>
      </c>
      <c r="C243" s="131"/>
      <c r="D243" s="131"/>
      <c r="E243" s="131"/>
      <c r="F243" s="131"/>
      <c r="G243" s="131"/>
      <c r="H243" s="131"/>
      <c r="I243" s="131"/>
      <c r="J243" s="131"/>
      <c r="K243" s="131"/>
      <c r="L243" s="131"/>
      <c r="M243" s="131"/>
      <c r="N243" s="131"/>
    </row>
    <row r="244" spans="2:15" x14ac:dyDescent="0.25">
      <c r="C244" s="151"/>
      <c r="K244" s="151"/>
      <c r="N244" s="103"/>
    </row>
    <row r="250" spans="2:15" ht="48.75" customHeight="1" thickBot="1" x14ac:dyDescent="0.3">
      <c r="B250" s="12" t="s">
        <v>287</v>
      </c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" t="s">
        <v>149</v>
      </c>
    </row>
    <row r="251" spans="2:15" ht="10.5" customHeight="1" thickBot="1" x14ac:dyDescent="0.3">
      <c r="B251" s="132"/>
      <c r="C251" s="133"/>
      <c r="D251" s="132"/>
      <c r="E251" s="132"/>
      <c r="F251" s="132"/>
      <c r="G251" s="132"/>
      <c r="H251" s="132"/>
      <c r="I251" s="132"/>
      <c r="J251" s="132"/>
      <c r="K251" s="132"/>
      <c r="L251" s="132"/>
      <c r="M251" s="4"/>
      <c r="N251" s="4"/>
      <c r="O251" s="1" t="s">
        <v>150</v>
      </c>
    </row>
    <row r="252" spans="2:15" ht="22.5" thickTop="1" thickBot="1" x14ac:dyDescent="0.3">
      <c r="B252" s="152" t="str">
        <f>C252</f>
        <v>Suecia</v>
      </c>
      <c r="C252" s="135" t="s">
        <v>133</v>
      </c>
      <c r="D252" s="136"/>
      <c r="E252" s="136"/>
      <c r="F252" s="136"/>
      <c r="G252" s="136"/>
      <c r="H252" s="136"/>
      <c r="I252" s="136"/>
      <c r="J252" s="136"/>
      <c r="K252" s="136"/>
      <c r="L252" s="136"/>
      <c r="M252" s="136"/>
      <c r="N252" s="136"/>
    </row>
    <row r="253" spans="2:15" ht="22.5" thickTop="1" thickBot="1" x14ac:dyDescent="0.3">
      <c r="B253" s="137"/>
      <c r="C253" s="138">
        <f>$C$7</f>
        <v>2020</v>
      </c>
      <c r="D253" s="139"/>
      <c r="E253" s="140">
        <f>$E$7</f>
        <v>2021</v>
      </c>
      <c r="F253" s="139"/>
      <c r="G253" s="140">
        <f>$G$7</f>
        <v>2022</v>
      </c>
      <c r="H253" s="139"/>
      <c r="I253" s="140">
        <f>$I$7</f>
        <v>2023</v>
      </c>
      <c r="J253" s="139"/>
      <c r="K253" s="140">
        <f>$K$7</f>
        <v>2024</v>
      </c>
      <c r="L253" s="139"/>
      <c r="M253" s="140">
        <f>$M$7</f>
        <v>2025</v>
      </c>
      <c r="N253" s="141"/>
    </row>
    <row r="254" spans="2:15" ht="16.5" thickTop="1" thickBot="1" x14ac:dyDescent="0.3">
      <c r="B254" s="109"/>
      <c r="C254" s="142" t="s">
        <v>71</v>
      </c>
      <c r="D254" s="143" t="str">
        <f>CONCATENATE("var. ",RIGHT(C253,2),"/",RIGHT(C253-1,2))</f>
        <v>var. 20/19</v>
      </c>
      <c r="E254" s="144" t="s">
        <v>71</v>
      </c>
      <c r="F254" s="143" t="s">
        <v>251</v>
      </c>
      <c r="G254" s="144" t="s">
        <v>71</v>
      </c>
      <c r="H254" s="143" t="s">
        <v>251</v>
      </c>
      <c r="I254" s="144" t="s">
        <v>71</v>
      </c>
      <c r="J254" s="143" t="s">
        <v>251</v>
      </c>
      <c r="K254" s="144" t="s">
        <v>71</v>
      </c>
      <c r="L254" s="143" t="s">
        <v>251</v>
      </c>
      <c r="M254" s="144" t="s">
        <v>71</v>
      </c>
      <c r="N254" s="143" t="s">
        <v>277</v>
      </c>
    </row>
    <row r="255" spans="2:15" x14ac:dyDescent="0.25">
      <c r="B255" s="145" t="s">
        <v>73</v>
      </c>
      <c r="C255" s="146">
        <v>9860</v>
      </c>
      <c r="D255" s="147">
        <v>-0.18512396694214872</v>
      </c>
      <c r="E255" s="146">
        <v>61</v>
      </c>
      <c r="F255" s="147">
        <f t="shared" ref="F255:L267" si="26">IFERROR(E255/C255-1,"-")</f>
        <v>-0.9938133874239351</v>
      </c>
      <c r="G255" s="146">
        <v>1650</v>
      </c>
      <c r="H255" s="147">
        <f t="shared" si="26"/>
        <v>26.049180327868854</v>
      </c>
      <c r="I255" s="146">
        <v>4002</v>
      </c>
      <c r="J255" s="147">
        <f t="shared" si="26"/>
        <v>1.4254545454545453</v>
      </c>
      <c r="K255" s="146">
        <v>3362</v>
      </c>
      <c r="L255" s="147">
        <f t="shared" si="26"/>
        <v>-0.15992003998001003</v>
      </c>
      <c r="M255" s="146">
        <v>2656</v>
      </c>
      <c r="N255" s="147">
        <f t="shared" ref="N255:N263" si="27">IFERROR(M255/K255-1,"-")</f>
        <v>-0.20999405116002379</v>
      </c>
    </row>
    <row r="256" spans="2:15" x14ac:dyDescent="0.25">
      <c r="B256" s="145" t="s">
        <v>75</v>
      </c>
      <c r="C256" s="146">
        <v>14874</v>
      </c>
      <c r="D256" s="147">
        <v>0.75649504015115721</v>
      </c>
      <c r="E256" s="146">
        <v>35</v>
      </c>
      <c r="F256" s="147">
        <f t="shared" si="26"/>
        <v>-0.99764690063197525</v>
      </c>
      <c r="G256" s="146">
        <v>1120</v>
      </c>
      <c r="H256" s="147">
        <f t="shared" si="26"/>
        <v>31</v>
      </c>
      <c r="I256" s="146">
        <v>3629</v>
      </c>
      <c r="J256" s="147">
        <f t="shared" si="26"/>
        <v>2.2401785714285714</v>
      </c>
      <c r="K256" s="146">
        <v>3238</v>
      </c>
      <c r="L256" s="147">
        <f t="shared" si="26"/>
        <v>-0.10774317993937721</v>
      </c>
      <c r="M256" s="146">
        <v>2572</v>
      </c>
      <c r="N256" s="147">
        <f t="shared" si="27"/>
        <v>-0.2056825200741198</v>
      </c>
    </row>
    <row r="257" spans="2:14" x14ac:dyDescent="0.25">
      <c r="B257" s="145" t="s">
        <v>77</v>
      </c>
      <c r="C257" s="146">
        <v>4046</v>
      </c>
      <c r="D257" s="147">
        <v>-0.47631374579342478</v>
      </c>
      <c r="E257" s="146">
        <v>64</v>
      </c>
      <c r="F257" s="147">
        <f t="shared" si="26"/>
        <v>-0.98418190805734063</v>
      </c>
      <c r="G257" s="146">
        <v>2215</v>
      </c>
      <c r="H257" s="147">
        <f t="shared" si="26"/>
        <v>33.609375</v>
      </c>
      <c r="I257" s="146">
        <v>2337</v>
      </c>
      <c r="J257" s="147">
        <f t="shared" si="26"/>
        <v>5.5079006772009054E-2</v>
      </c>
      <c r="K257" s="146">
        <v>2853</v>
      </c>
      <c r="L257" s="147">
        <f t="shared" si="26"/>
        <v>0.22079589216944795</v>
      </c>
      <c r="M257" s="146">
        <v>2401</v>
      </c>
      <c r="N257" s="147">
        <f t="shared" si="27"/>
        <v>-0.15842972309849279</v>
      </c>
    </row>
    <row r="258" spans="2:14" x14ac:dyDescent="0.25">
      <c r="B258" s="145" t="s">
        <v>79</v>
      </c>
      <c r="C258" s="146">
        <v>0</v>
      </c>
      <c r="D258" s="147">
        <v>-1</v>
      </c>
      <c r="E258" s="146">
        <v>0</v>
      </c>
      <c r="F258" s="147" t="str">
        <f t="shared" si="26"/>
        <v>-</v>
      </c>
      <c r="G258" s="146">
        <v>1354</v>
      </c>
      <c r="H258" s="147" t="str">
        <f t="shared" si="26"/>
        <v>-</v>
      </c>
      <c r="I258" s="146">
        <v>2417</v>
      </c>
      <c r="J258" s="147">
        <f t="shared" si="26"/>
        <v>0.78508124076809449</v>
      </c>
      <c r="K258" s="146">
        <v>920</v>
      </c>
      <c r="L258" s="147">
        <f t="shared" si="26"/>
        <v>-0.61936284650393048</v>
      </c>
      <c r="M258" s="146">
        <v>897</v>
      </c>
      <c r="N258" s="147">
        <f t="shared" si="27"/>
        <v>-2.5000000000000022E-2</v>
      </c>
    </row>
    <row r="259" spans="2:14" x14ac:dyDescent="0.25">
      <c r="B259" s="145" t="s">
        <v>81</v>
      </c>
      <c r="C259" s="146">
        <v>0</v>
      </c>
      <c r="D259" s="147">
        <v>-1</v>
      </c>
      <c r="E259" s="146">
        <v>11</v>
      </c>
      <c r="F259" s="147" t="str">
        <f t="shared" si="26"/>
        <v>-</v>
      </c>
      <c r="G259" s="146">
        <v>12</v>
      </c>
      <c r="H259" s="147">
        <f t="shared" si="26"/>
        <v>9.0909090909090828E-2</v>
      </c>
      <c r="I259" s="146">
        <v>133</v>
      </c>
      <c r="J259" s="147">
        <f t="shared" si="26"/>
        <v>10.083333333333334</v>
      </c>
      <c r="K259" s="146">
        <v>71</v>
      </c>
      <c r="L259" s="147">
        <f t="shared" si="26"/>
        <v>-0.46616541353383456</v>
      </c>
      <c r="M259" s="146">
        <v>79</v>
      </c>
      <c r="N259" s="147">
        <f t="shared" si="27"/>
        <v>0.11267605633802824</v>
      </c>
    </row>
    <row r="260" spans="2:14" x14ac:dyDescent="0.25">
      <c r="B260" s="145" t="s">
        <v>83</v>
      </c>
      <c r="C260" s="146">
        <v>0</v>
      </c>
      <c r="D260" s="147">
        <v>-1</v>
      </c>
      <c r="E260" s="146">
        <v>11</v>
      </c>
      <c r="F260" s="147" t="str">
        <f t="shared" si="26"/>
        <v>-</v>
      </c>
      <c r="G260" s="146">
        <v>46</v>
      </c>
      <c r="H260" s="147">
        <f t="shared" si="26"/>
        <v>3.1818181818181817</v>
      </c>
      <c r="I260" s="146">
        <v>42</v>
      </c>
      <c r="J260" s="147">
        <f t="shared" si="26"/>
        <v>-8.6956521739130488E-2</v>
      </c>
      <c r="K260" s="146">
        <v>24</v>
      </c>
      <c r="L260" s="147">
        <f t="shared" si="26"/>
        <v>-0.4285714285714286</v>
      </c>
      <c r="M260" s="146">
        <v>166</v>
      </c>
      <c r="N260" s="147">
        <f t="shared" si="27"/>
        <v>5.916666666666667</v>
      </c>
    </row>
    <row r="261" spans="2:14" x14ac:dyDescent="0.25">
      <c r="B261" s="145" t="s">
        <v>85</v>
      </c>
      <c r="C261" s="146">
        <v>0</v>
      </c>
      <c r="D261" s="147">
        <v>-1</v>
      </c>
      <c r="E261" s="146">
        <v>24</v>
      </c>
      <c r="F261" s="147" t="str">
        <f t="shared" si="26"/>
        <v>-</v>
      </c>
      <c r="G261" s="146">
        <v>101</v>
      </c>
      <c r="H261" s="147">
        <f t="shared" si="26"/>
        <v>3.208333333333333</v>
      </c>
      <c r="I261" s="146">
        <v>112</v>
      </c>
      <c r="J261" s="147">
        <f t="shared" si="26"/>
        <v>0.10891089108910901</v>
      </c>
      <c r="K261" s="146">
        <v>146</v>
      </c>
      <c r="L261" s="147">
        <f t="shared" si="26"/>
        <v>0.3035714285714286</v>
      </c>
      <c r="M261" s="146">
        <v>161</v>
      </c>
      <c r="N261" s="147">
        <f t="shared" si="27"/>
        <v>0.10273972602739723</v>
      </c>
    </row>
    <row r="262" spans="2:14" x14ac:dyDescent="0.25">
      <c r="B262" s="145" t="s">
        <v>87</v>
      </c>
      <c r="C262" s="146">
        <v>17</v>
      </c>
      <c r="D262" s="147">
        <v>-0.90555555555555556</v>
      </c>
      <c r="E262" s="146">
        <v>0</v>
      </c>
      <c r="F262" s="147">
        <f t="shared" si="26"/>
        <v>-1</v>
      </c>
      <c r="G262" s="146">
        <v>101</v>
      </c>
      <c r="H262" s="147" t="str">
        <f t="shared" si="26"/>
        <v>-</v>
      </c>
      <c r="I262" s="146">
        <v>188</v>
      </c>
      <c r="J262" s="147">
        <f t="shared" si="26"/>
        <v>0.86138613861386149</v>
      </c>
      <c r="K262" s="146">
        <v>3</v>
      </c>
      <c r="L262" s="147">
        <f t="shared" si="26"/>
        <v>-0.98404255319148937</v>
      </c>
      <c r="M262" s="146">
        <v>76</v>
      </c>
      <c r="N262" s="147">
        <f t="shared" si="27"/>
        <v>24.333333333333332</v>
      </c>
    </row>
    <row r="263" spans="2:14" x14ac:dyDescent="0.25">
      <c r="B263" s="145" t="s">
        <v>89</v>
      </c>
      <c r="C263" s="146">
        <v>0</v>
      </c>
      <c r="D263" s="147">
        <v>-1</v>
      </c>
      <c r="E263" s="146">
        <v>0</v>
      </c>
      <c r="F263" s="147" t="str">
        <f t="shared" si="26"/>
        <v>-</v>
      </c>
      <c r="G263" s="146">
        <v>15</v>
      </c>
      <c r="H263" s="147" t="str">
        <f t="shared" si="26"/>
        <v>-</v>
      </c>
      <c r="I263" s="146">
        <v>53</v>
      </c>
      <c r="J263" s="147">
        <f t="shared" si="26"/>
        <v>2.5333333333333332</v>
      </c>
      <c r="K263" s="146">
        <v>102</v>
      </c>
      <c r="L263" s="147">
        <f t="shared" si="26"/>
        <v>0.92452830188679247</v>
      </c>
      <c r="M263" s="146">
        <v>26</v>
      </c>
      <c r="N263" s="147">
        <f t="shared" si="27"/>
        <v>-0.74509803921568629</v>
      </c>
    </row>
    <row r="264" spans="2:14" x14ac:dyDescent="0.25">
      <c r="B264" s="145" t="s">
        <v>91</v>
      </c>
      <c r="C264" s="146">
        <v>331</v>
      </c>
      <c r="D264" s="147">
        <v>-0.79780085522296884</v>
      </c>
      <c r="E264" s="146">
        <v>446</v>
      </c>
      <c r="F264" s="147">
        <f t="shared" si="26"/>
        <v>0.34743202416918439</v>
      </c>
      <c r="G264" s="146">
        <v>612</v>
      </c>
      <c r="H264" s="147">
        <f t="shared" si="26"/>
        <v>0.37219730941704032</v>
      </c>
      <c r="I264" s="146">
        <v>560</v>
      </c>
      <c r="J264" s="147">
        <f t="shared" si="26"/>
        <v>-8.496732026143794E-2</v>
      </c>
      <c r="K264" s="146">
        <v>1129</v>
      </c>
      <c r="L264" s="147">
        <f t="shared" si="26"/>
        <v>1.0160714285714287</v>
      </c>
      <c r="M264" s="146"/>
      <c r="N264" s="147"/>
    </row>
    <row r="265" spans="2:14" x14ac:dyDescent="0.25">
      <c r="B265" s="145" t="s">
        <v>93</v>
      </c>
      <c r="C265" s="146">
        <v>300</v>
      </c>
      <c r="D265" s="147">
        <v>-0.95227489659560927</v>
      </c>
      <c r="E265" s="146">
        <v>2974</v>
      </c>
      <c r="F265" s="147">
        <f t="shared" si="26"/>
        <v>8.913333333333334</v>
      </c>
      <c r="G265" s="146">
        <v>2952</v>
      </c>
      <c r="H265" s="147">
        <f t="shared" si="26"/>
        <v>-7.3974445191661298E-3</v>
      </c>
      <c r="I265" s="146">
        <v>3991</v>
      </c>
      <c r="J265" s="147">
        <f t="shared" si="26"/>
        <v>0.35196476964769641</v>
      </c>
      <c r="K265" s="146">
        <v>3568</v>
      </c>
      <c r="L265" s="147">
        <f t="shared" si="26"/>
        <v>-0.10598847406664991</v>
      </c>
      <c r="M265" s="146"/>
      <c r="N265" s="147"/>
    </row>
    <row r="266" spans="2:14" x14ac:dyDescent="0.25">
      <c r="B266" s="145" t="s">
        <v>95</v>
      </c>
      <c r="C266" s="146">
        <v>55</v>
      </c>
      <c r="D266" s="147">
        <v>-0.99095394736842102</v>
      </c>
      <c r="E266" s="146">
        <v>2732</v>
      </c>
      <c r="F266" s="147">
        <f t="shared" si="26"/>
        <v>48.672727272727272</v>
      </c>
      <c r="G266" s="146">
        <v>4086</v>
      </c>
      <c r="H266" s="147">
        <f t="shared" si="26"/>
        <v>0.49560761346998539</v>
      </c>
      <c r="I266" s="146">
        <v>3911</v>
      </c>
      <c r="J266" s="147">
        <f t="shared" si="26"/>
        <v>-4.2829172785119884E-2</v>
      </c>
      <c r="K266" s="146">
        <v>3681</v>
      </c>
      <c r="L266" s="147">
        <f t="shared" si="26"/>
        <v>-5.8808488877524878E-2</v>
      </c>
      <c r="M266" s="146"/>
      <c r="N266" s="147"/>
    </row>
    <row r="267" spans="2:14" ht="15.75" x14ac:dyDescent="0.25">
      <c r="B267" s="148" t="s">
        <v>32</v>
      </c>
      <c r="C267" s="149">
        <v>29519</v>
      </c>
      <c r="D267" s="150">
        <v>-0.38350528382273086</v>
      </c>
      <c r="E267" s="149">
        <v>6358</v>
      </c>
      <c r="F267" s="150">
        <f t="shared" si="26"/>
        <v>-0.78461329990853346</v>
      </c>
      <c r="G267" s="149">
        <v>14264</v>
      </c>
      <c r="H267" s="150">
        <f t="shared" si="26"/>
        <v>1.2434727901855931</v>
      </c>
      <c r="I267" s="149">
        <v>21375</v>
      </c>
      <c r="J267" s="150">
        <f t="shared" si="26"/>
        <v>0.49852776219854178</v>
      </c>
      <c r="K267" s="149">
        <v>19097</v>
      </c>
      <c r="L267" s="150">
        <f t="shared" si="26"/>
        <v>-0.10657309941520465</v>
      </c>
      <c r="M267" s="149">
        <v>9034</v>
      </c>
      <c r="N267" s="150">
        <v>-0.15719749976676933</v>
      </c>
    </row>
    <row r="268" spans="2:14" ht="6" customHeight="1" x14ac:dyDescent="0.25"/>
    <row r="269" spans="2:14" x14ac:dyDescent="0.25">
      <c r="B269" s="131" t="s">
        <v>57</v>
      </c>
      <c r="C269" s="131"/>
      <c r="D269" s="131"/>
      <c r="E269" s="131"/>
      <c r="F269" s="131"/>
      <c r="G269" s="131"/>
      <c r="H269" s="131"/>
      <c r="I269" s="131"/>
      <c r="J269" s="131"/>
      <c r="K269" s="131"/>
      <c r="L269" s="131"/>
      <c r="M269" s="131"/>
      <c r="N269" s="131"/>
    </row>
    <row r="270" spans="2:14" x14ac:dyDescent="0.25">
      <c r="C270" s="151"/>
      <c r="K270" s="151"/>
      <c r="N270" s="103"/>
    </row>
  </sheetData>
  <mergeCells count="96">
    <mergeCell ref="B250:N250"/>
    <mergeCell ref="C252:N252"/>
    <mergeCell ref="C253:D253"/>
    <mergeCell ref="E253:F253"/>
    <mergeCell ref="G253:H253"/>
    <mergeCell ref="I253:J253"/>
    <mergeCell ref="K253:L253"/>
    <mergeCell ref="M253:N253"/>
    <mergeCell ref="B224:N224"/>
    <mergeCell ref="C226:N226"/>
    <mergeCell ref="C227:D227"/>
    <mergeCell ref="E227:F227"/>
    <mergeCell ref="G227:H227"/>
    <mergeCell ref="I227:J227"/>
    <mergeCell ref="K227:L227"/>
    <mergeCell ref="M227:N227"/>
    <mergeCell ref="B202:N202"/>
    <mergeCell ref="C204:N204"/>
    <mergeCell ref="C205:D205"/>
    <mergeCell ref="E205:F205"/>
    <mergeCell ref="G205:H205"/>
    <mergeCell ref="I205:J205"/>
    <mergeCell ref="K205:L205"/>
    <mergeCell ref="M205:N205"/>
    <mergeCell ref="B180:N180"/>
    <mergeCell ref="C182:N182"/>
    <mergeCell ref="C183:D183"/>
    <mergeCell ref="E183:F183"/>
    <mergeCell ref="G183:H183"/>
    <mergeCell ref="I183:J183"/>
    <mergeCell ref="K183:L183"/>
    <mergeCell ref="M183:N183"/>
    <mergeCell ref="B158:N158"/>
    <mergeCell ref="C160:N160"/>
    <mergeCell ref="C161:D161"/>
    <mergeCell ref="E161:F161"/>
    <mergeCell ref="G161:H161"/>
    <mergeCell ref="I161:J161"/>
    <mergeCell ref="K161:L161"/>
    <mergeCell ref="M161:N161"/>
    <mergeCell ref="B136:N136"/>
    <mergeCell ref="C138:N138"/>
    <mergeCell ref="C139:D139"/>
    <mergeCell ref="E139:F139"/>
    <mergeCell ref="G139:H139"/>
    <mergeCell ref="I139:J139"/>
    <mergeCell ref="K139:L139"/>
    <mergeCell ref="M139:N139"/>
    <mergeCell ref="B114:N114"/>
    <mergeCell ref="C116:N116"/>
    <mergeCell ref="C117:D117"/>
    <mergeCell ref="E117:F117"/>
    <mergeCell ref="G117:H117"/>
    <mergeCell ref="I117:J117"/>
    <mergeCell ref="K117:L117"/>
    <mergeCell ref="M117:N117"/>
    <mergeCell ref="B92:N92"/>
    <mergeCell ref="C94:N94"/>
    <mergeCell ref="C95:D95"/>
    <mergeCell ref="E95:F95"/>
    <mergeCell ref="G95:H95"/>
    <mergeCell ref="I95:J95"/>
    <mergeCell ref="K95:L95"/>
    <mergeCell ref="M95:N95"/>
    <mergeCell ref="B70:N70"/>
    <mergeCell ref="C72:N72"/>
    <mergeCell ref="C73:D73"/>
    <mergeCell ref="E73:F73"/>
    <mergeCell ref="G73:H73"/>
    <mergeCell ref="I73:J73"/>
    <mergeCell ref="K73:L73"/>
    <mergeCell ref="M73:N73"/>
    <mergeCell ref="B48:N48"/>
    <mergeCell ref="C50:N50"/>
    <mergeCell ref="C51:D51"/>
    <mergeCell ref="E51:F51"/>
    <mergeCell ref="G51:H51"/>
    <mergeCell ref="I51:J51"/>
    <mergeCell ref="K51:L51"/>
    <mergeCell ref="M51:N51"/>
    <mergeCell ref="B26:N26"/>
    <mergeCell ref="C28:N28"/>
    <mergeCell ref="C29:D29"/>
    <mergeCell ref="E29:F29"/>
    <mergeCell ref="G29:H29"/>
    <mergeCell ref="I29:J29"/>
    <mergeCell ref="K29:L29"/>
    <mergeCell ref="M29:N29"/>
    <mergeCell ref="B4:N4"/>
    <mergeCell ref="C6:N6"/>
    <mergeCell ref="C7:D7"/>
    <mergeCell ref="E7:F7"/>
    <mergeCell ref="G7:H7"/>
    <mergeCell ref="I7:J7"/>
    <mergeCell ref="K7:L7"/>
    <mergeCell ref="M7:N7"/>
  </mergeCells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E1BAC-1146-4B42-A669-21110A18B4F2}">
  <sheetPr>
    <tabColor rgb="FFF29140"/>
  </sheetPr>
  <dimension ref="A4:O113"/>
  <sheetViews>
    <sheetView showGridLines="0" zoomScaleNormal="100" workbookViewId="0">
      <selection activeCell="G10" sqref="G10"/>
    </sheetView>
  </sheetViews>
  <sheetFormatPr baseColWidth="10" defaultColWidth="11.42578125" defaultRowHeight="15" x14ac:dyDescent="0.25"/>
  <cols>
    <col min="1" max="1" width="15.28515625" customWidth="1"/>
    <col min="4" max="4" width="12.140625" bestFit="1" customWidth="1"/>
    <col min="14" max="14" width="13.5703125" bestFit="1" customWidth="1"/>
  </cols>
  <sheetData>
    <row r="4" spans="1:15" ht="48.75" customHeight="1" thickBot="1" x14ac:dyDescent="0.3">
      <c r="B4" s="12" t="s">
        <v>275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" t="s">
        <v>68</v>
      </c>
    </row>
    <row r="5" spans="1:15" ht="10.5" customHeight="1" thickBot="1" x14ac:dyDescent="0.3">
      <c r="B5" s="132"/>
      <c r="C5" s="133"/>
      <c r="D5" s="132"/>
      <c r="E5" s="132"/>
      <c r="F5" s="132"/>
      <c r="G5" s="132"/>
      <c r="H5" s="132"/>
      <c r="I5" s="132"/>
      <c r="J5" s="132"/>
      <c r="K5" s="132"/>
      <c r="L5" s="132"/>
      <c r="M5" s="4"/>
      <c r="N5" s="4"/>
      <c r="O5" s="1" t="s">
        <v>69</v>
      </c>
    </row>
    <row r="6" spans="1:15" ht="22.5" thickTop="1" thickBot="1" x14ac:dyDescent="0.3">
      <c r="B6" s="134" t="s">
        <v>32</v>
      </c>
      <c r="C6" s="135" t="s">
        <v>134</v>
      </c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1:15" ht="22.5" thickTop="1" thickBot="1" x14ac:dyDescent="0.3">
      <c r="B7" s="137"/>
      <c r="C7" s="140">
        <f>E7-1</f>
        <v>2020</v>
      </c>
      <c r="D7" s="139"/>
      <c r="E7" s="140">
        <f>G7-1</f>
        <v>2021</v>
      </c>
      <c r="F7" s="139"/>
      <c r="G7" s="140">
        <f>I7-1</f>
        <v>2022</v>
      </c>
      <c r="H7" s="139"/>
      <c r="I7" s="140">
        <f>K7-1</f>
        <v>2023</v>
      </c>
      <c r="J7" s="139"/>
      <c r="K7" s="140">
        <f>M7-1</f>
        <v>2024</v>
      </c>
      <c r="L7" s="139"/>
      <c r="M7" s="140">
        <v>2025</v>
      </c>
      <c r="N7" s="141"/>
    </row>
    <row r="8" spans="1:15" ht="16.5" thickTop="1" thickBot="1" x14ac:dyDescent="0.3">
      <c r="B8" s="109"/>
      <c r="C8" s="142" t="s">
        <v>71</v>
      </c>
      <c r="D8" s="143" t="str">
        <f>CONCATENATE("var ",RIGHT(C7,2),"/",RIGHT(C7-1,2))</f>
        <v>var 20/19</v>
      </c>
      <c r="E8" s="144" t="s">
        <v>71</v>
      </c>
      <c r="F8" s="143" t="str">
        <f>CONCATENATE("var ",RIGHT(E7,2),"/",RIGHT(C7,2))</f>
        <v>var 21/20</v>
      </c>
      <c r="G8" s="144" t="s">
        <v>71</v>
      </c>
      <c r="H8" s="143" t="str">
        <f>CONCATENATE("var ",RIGHT(G7,2),"/",RIGHT(E7,2))</f>
        <v>var 22/21</v>
      </c>
      <c r="I8" s="144" t="s">
        <v>71</v>
      </c>
      <c r="J8" s="143" t="str">
        <f>CONCATENATE("var ",RIGHT(I7,2),"/",RIGHT(G7,2))</f>
        <v>var 23/22</v>
      </c>
      <c r="K8" s="144" t="s">
        <v>71</v>
      </c>
      <c r="L8" s="143" t="str">
        <f>CONCATENATE("var ",RIGHT(K7,2),"/",RIGHT(I7,2))</f>
        <v>var 24/23</v>
      </c>
      <c r="M8" s="144" t="s">
        <v>71</v>
      </c>
      <c r="N8" s="143" t="str">
        <f>CONCATENATE("var ",RIGHT(M7,2),"/",RIGHT(K7,2))</f>
        <v>var 25/24</v>
      </c>
    </row>
    <row r="9" spans="1:15" x14ac:dyDescent="0.25">
      <c r="A9" s="1" t="s">
        <v>72</v>
      </c>
      <c r="B9" s="145" t="s">
        <v>73</v>
      </c>
      <c r="C9" s="146">
        <v>157800</v>
      </c>
      <c r="D9" s="147">
        <v>9.3902719852620997E-3</v>
      </c>
      <c r="E9" s="146">
        <v>26469</v>
      </c>
      <c r="F9" s="147">
        <f t="shared" ref="F9:L21" si="0">IFERROR(E9/C9-1,"-")</f>
        <v>-0.83226235741444865</v>
      </c>
      <c r="G9" s="146">
        <v>114870</v>
      </c>
      <c r="H9" s="147">
        <f t="shared" si="0"/>
        <v>3.3397937209565907</v>
      </c>
      <c r="I9" s="146">
        <v>163920</v>
      </c>
      <c r="J9" s="147">
        <f t="shared" si="0"/>
        <v>0.4270044398015147</v>
      </c>
      <c r="K9" s="146">
        <v>173408</v>
      </c>
      <c r="L9" s="147">
        <f t="shared" si="0"/>
        <v>5.7881893606637425E-2</v>
      </c>
      <c r="M9" s="146">
        <v>169944</v>
      </c>
      <c r="N9" s="147">
        <f t="shared" ref="N9:N17" si="1">IFERROR(M9/K9-1,"-")</f>
        <v>-1.9976010334009975E-2</v>
      </c>
    </row>
    <row r="10" spans="1:15" x14ac:dyDescent="0.25">
      <c r="A10" s="1" t="s">
        <v>74</v>
      </c>
      <c r="B10" s="145" t="s">
        <v>75</v>
      </c>
      <c r="C10" s="146">
        <v>172884</v>
      </c>
      <c r="D10" s="147">
        <v>0.19373593139353429</v>
      </c>
      <c r="E10" s="146">
        <v>18511</v>
      </c>
      <c r="F10" s="147">
        <f t="shared" si="0"/>
        <v>-0.89292820619606206</v>
      </c>
      <c r="G10" s="146">
        <v>141290</v>
      </c>
      <c r="H10" s="147">
        <f t="shared" si="0"/>
        <v>6.6327589001134459</v>
      </c>
      <c r="I10" s="146">
        <v>156374</v>
      </c>
      <c r="J10" s="147">
        <f t="shared" si="0"/>
        <v>0.10675914785193563</v>
      </c>
      <c r="K10" s="146">
        <v>166759</v>
      </c>
      <c r="L10" s="147">
        <f t="shared" si="0"/>
        <v>6.6411295995497888E-2</v>
      </c>
      <c r="M10" s="146">
        <v>168166</v>
      </c>
      <c r="N10" s="147">
        <f t="shared" si="1"/>
        <v>8.437325721550204E-3</v>
      </c>
    </row>
    <row r="11" spans="1:15" x14ac:dyDescent="0.25">
      <c r="A11" s="1" t="s">
        <v>76</v>
      </c>
      <c r="B11" s="145" t="s">
        <v>77</v>
      </c>
      <c r="C11" s="146">
        <v>82007</v>
      </c>
      <c r="D11" s="147">
        <v>-0.47045111131200679</v>
      </c>
      <c r="E11" s="146">
        <v>22143</v>
      </c>
      <c r="F11" s="147">
        <f t="shared" si="0"/>
        <v>-0.72998646457009775</v>
      </c>
      <c r="G11" s="146">
        <v>148905</v>
      </c>
      <c r="H11" s="147">
        <f t="shared" si="0"/>
        <v>5.724698550331933</v>
      </c>
      <c r="I11" s="146">
        <v>146134</v>
      </c>
      <c r="J11" s="147">
        <f t="shared" si="0"/>
        <v>-1.8609180349887566E-2</v>
      </c>
      <c r="K11" s="146">
        <v>176870</v>
      </c>
      <c r="L11" s="147">
        <f t="shared" si="0"/>
        <v>0.21032750762998353</v>
      </c>
      <c r="M11" s="146">
        <v>166403</v>
      </c>
      <c r="N11" s="147">
        <f t="shared" si="1"/>
        <v>-5.9179058065245704E-2</v>
      </c>
    </row>
    <row r="12" spans="1:15" x14ac:dyDescent="0.25">
      <c r="A12" s="1" t="s">
        <v>78</v>
      </c>
      <c r="B12" s="145" t="s">
        <v>79</v>
      </c>
      <c r="C12" s="146">
        <v>0</v>
      </c>
      <c r="D12" s="147">
        <v>-1</v>
      </c>
      <c r="E12" s="146">
        <v>22148</v>
      </c>
      <c r="F12" s="147" t="str">
        <f t="shared" si="0"/>
        <v>-</v>
      </c>
      <c r="G12" s="146">
        <v>152510</v>
      </c>
      <c r="H12" s="147">
        <f t="shared" si="0"/>
        <v>5.885949069893444</v>
      </c>
      <c r="I12" s="146">
        <v>144835</v>
      </c>
      <c r="J12" s="147">
        <f t="shared" si="0"/>
        <v>-5.0324568880729115E-2</v>
      </c>
      <c r="K12" s="146">
        <v>154662</v>
      </c>
      <c r="L12" s="147">
        <f t="shared" si="0"/>
        <v>6.7849621983636643E-2</v>
      </c>
      <c r="M12" s="146">
        <v>160144</v>
      </c>
      <c r="N12" s="147">
        <f t="shared" si="1"/>
        <v>3.5445034979503687E-2</v>
      </c>
    </row>
    <row r="13" spans="1:15" x14ac:dyDescent="0.25">
      <c r="A13" s="1" t="s">
        <v>80</v>
      </c>
      <c r="B13" s="145" t="s">
        <v>81</v>
      </c>
      <c r="C13" s="146">
        <v>0</v>
      </c>
      <c r="D13" s="147">
        <v>-1</v>
      </c>
      <c r="E13" s="146">
        <v>24096</v>
      </c>
      <c r="F13" s="147" t="str">
        <f t="shared" si="0"/>
        <v>-</v>
      </c>
      <c r="G13" s="146">
        <v>125910</v>
      </c>
      <c r="H13" s="147">
        <f t="shared" si="0"/>
        <v>4.2253486055776897</v>
      </c>
      <c r="I13" s="146">
        <v>140451</v>
      </c>
      <c r="J13" s="147">
        <f t="shared" si="0"/>
        <v>0.11548725279961869</v>
      </c>
      <c r="K13" s="146">
        <v>159924</v>
      </c>
      <c r="L13" s="147">
        <f t="shared" si="0"/>
        <v>0.1386462182540531</v>
      </c>
      <c r="M13" s="146">
        <v>143215</v>
      </c>
      <c r="N13" s="147">
        <f t="shared" si="1"/>
        <v>-0.10448087841724818</v>
      </c>
    </row>
    <row r="14" spans="1:15" x14ac:dyDescent="0.25">
      <c r="A14" s="1" t="s">
        <v>82</v>
      </c>
      <c r="B14" s="145" t="s">
        <v>83</v>
      </c>
      <c r="C14" s="146">
        <v>0</v>
      </c>
      <c r="D14" s="147">
        <v>-1</v>
      </c>
      <c r="E14" s="146">
        <v>18794</v>
      </c>
      <c r="F14" s="147" t="str">
        <f t="shared" si="0"/>
        <v>-</v>
      </c>
      <c r="G14" s="146">
        <v>132220</v>
      </c>
      <c r="H14" s="147">
        <f t="shared" si="0"/>
        <v>6.0352240076620198</v>
      </c>
      <c r="I14" s="146">
        <v>142289</v>
      </c>
      <c r="J14" s="147">
        <f t="shared" si="0"/>
        <v>7.6153380729087949E-2</v>
      </c>
      <c r="K14" s="146">
        <v>157113</v>
      </c>
      <c r="L14" s="147">
        <f t="shared" si="0"/>
        <v>0.10418233313889336</v>
      </c>
      <c r="M14" s="146">
        <v>156124</v>
      </c>
      <c r="N14" s="147">
        <f t="shared" si="1"/>
        <v>-6.2948323817888507E-3</v>
      </c>
    </row>
    <row r="15" spans="1:15" x14ac:dyDescent="0.25">
      <c r="A15" s="1" t="s">
        <v>84</v>
      </c>
      <c r="B15" s="145" t="s">
        <v>85</v>
      </c>
      <c r="C15" s="146">
        <v>0</v>
      </c>
      <c r="D15" s="147">
        <v>-1</v>
      </c>
      <c r="E15" s="146">
        <v>61086</v>
      </c>
      <c r="F15" s="147" t="str">
        <f t="shared" si="0"/>
        <v>-</v>
      </c>
      <c r="G15" s="146">
        <v>159520</v>
      </c>
      <c r="H15" s="147">
        <f t="shared" si="0"/>
        <v>1.6114003208591168</v>
      </c>
      <c r="I15" s="146">
        <v>166431</v>
      </c>
      <c r="J15" s="147">
        <f t="shared" si="0"/>
        <v>4.3323721163490481E-2</v>
      </c>
      <c r="K15" s="146">
        <v>173767</v>
      </c>
      <c r="L15" s="147">
        <f t="shared" si="0"/>
        <v>4.4078326754030117E-2</v>
      </c>
      <c r="M15" s="146">
        <v>187387</v>
      </c>
      <c r="N15" s="147">
        <f t="shared" si="1"/>
        <v>7.8380820293841857E-2</v>
      </c>
    </row>
    <row r="16" spans="1:15" x14ac:dyDescent="0.25">
      <c r="A16" s="1" t="s">
        <v>86</v>
      </c>
      <c r="B16" s="145" t="s">
        <v>87</v>
      </c>
      <c r="C16" s="146">
        <v>60513</v>
      </c>
      <c r="D16" s="147">
        <v>-0.66723673357162494</v>
      </c>
      <c r="E16" s="146">
        <v>94829</v>
      </c>
      <c r="F16" s="147">
        <f t="shared" si="0"/>
        <v>0.56708475864690233</v>
      </c>
      <c r="G16" s="146">
        <v>178525</v>
      </c>
      <c r="H16" s="147">
        <f t="shared" si="0"/>
        <v>0.88259920488458166</v>
      </c>
      <c r="I16" s="146">
        <v>181874</v>
      </c>
      <c r="J16" s="147">
        <f t="shared" si="0"/>
        <v>1.875927741212724E-2</v>
      </c>
      <c r="K16" s="146">
        <v>179514</v>
      </c>
      <c r="L16" s="147">
        <f t="shared" si="0"/>
        <v>-1.2976016362976517E-2</v>
      </c>
      <c r="M16" s="146">
        <v>189132</v>
      </c>
      <c r="N16" s="147">
        <f t="shared" si="1"/>
        <v>5.3577993916908984E-2</v>
      </c>
    </row>
    <row r="17" spans="1:15" x14ac:dyDescent="0.25">
      <c r="A17" s="1" t="s">
        <v>88</v>
      </c>
      <c r="B17" s="145" t="s">
        <v>89</v>
      </c>
      <c r="C17" s="146">
        <v>22909</v>
      </c>
      <c r="D17" s="147">
        <v>-0.86040885964110536</v>
      </c>
      <c r="E17" s="146">
        <v>89027</v>
      </c>
      <c r="F17" s="147">
        <f t="shared" si="0"/>
        <v>2.8861146274389977</v>
      </c>
      <c r="G17" s="146">
        <v>136089</v>
      </c>
      <c r="H17" s="147">
        <f t="shared" si="0"/>
        <v>0.52862614712390621</v>
      </c>
      <c r="I17" s="146">
        <v>150809</v>
      </c>
      <c r="J17" s="147">
        <f t="shared" si="0"/>
        <v>0.10816450998978611</v>
      </c>
      <c r="K17" s="146">
        <v>145872</v>
      </c>
      <c r="L17" s="147">
        <f t="shared" si="0"/>
        <v>-3.2736773004263697E-2</v>
      </c>
      <c r="M17" s="146">
        <v>164231</v>
      </c>
      <c r="N17" s="147">
        <f t="shared" si="1"/>
        <v>0.12585691565207857</v>
      </c>
    </row>
    <row r="18" spans="1:15" x14ac:dyDescent="0.25">
      <c r="A18" s="1" t="s">
        <v>90</v>
      </c>
      <c r="B18" s="145" t="s">
        <v>91</v>
      </c>
      <c r="C18" s="146">
        <v>24343</v>
      </c>
      <c r="D18" s="147">
        <v>-0.84925814921232534</v>
      </c>
      <c r="E18" s="146">
        <v>137179</v>
      </c>
      <c r="F18" s="147">
        <f t="shared" si="0"/>
        <v>4.6352544879431461</v>
      </c>
      <c r="G18" s="146">
        <v>154114</v>
      </c>
      <c r="H18" s="147">
        <f t="shared" si="0"/>
        <v>0.12345184029625522</v>
      </c>
      <c r="I18" s="146">
        <v>170708</v>
      </c>
      <c r="J18" s="147">
        <f t="shared" si="0"/>
        <v>0.10767354036622234</v>
      </c>
      <c r="K18" s="146">
        <v>177711</v>
      </c>
      <c r="L18" s="147">
        <f t="shared" si="0"/>
        <v>4.1023267802329233E-2</v>
      </c>
      <c r="M18" s="146"/>
      <c r="N18" s="147"/>
    </row>
    <row r="19" spans="1:15" x14ac:dyDescent="0.25">
      <c r="A19" s="1" t="s">
        <v>92</v>
      </c>
      <c r="B19" s="145" t="s">
        <v>93</v>
      </c>
      <c r="C19" s="146">
        <v>30656</v>
      </c>
      <c r="D19" s="147">
        <v>-0.78903470439671608</v>
      </c>
      <c r="E19" s="146">
        <v>137494</v>
      </c>
      <c r="F19" s="147">
        <f t="shared" si="0"/>
        <v>3.4850600208768263</v>
      </c>
      <c r="G19" s="146">
        <v>153023</v>
      </c>
      <c r="H19" s="147">
        <f t="shared" si="0"/>
        <v>0.11294311024481063</v>
      </c>
      <c r="I19" s="146">
        <v>164389</v>
      </c>
      <c r="J19" s="147">
        <f t="shared" si="0"/>
        <v>7.427641596361334E-2</v>
      </c>
      <c r="K19" s="146">
        <v>162641</v>
      </c>
      <c r="L19" s="147">
        <f t="shared" si="0"/>
        <v>-1.0633314881166034E-2</v>
      </c>
      <c r="M19" s="146"/>
      <c r="N19" s="147"/>
    </row>
    <row r="20" spans="1:15" x14ac:dyDescent="0.25">
      <c r="A20" s="1" t="s">
        <v>94</v>
      </c>
      <c r="B20" s="145" t="s">
        <v>95</v>
      </c>
      <c r="C20" s="146">
        <v>33192</v>
      </c>
      <c r="D20" s="147">
        <v>-0.77792348556823809</v>
      </c>
      <c r="E20" s="146">
        <v>123213</v>
      </c>
      <c r="F20" s="147">
        <f t="shared" si="0"/>
        <v>2.7121294287780189</v>
      </c>
      <c r="G20" s="146">
        <v>156141</v>
      </c>
      <c r="H20" s="147">
        <f t="shared" si="0"/>
        <v>0.26724452776898544</v>
      </c>
      <c r="I20" s="146">
        <v>158524</v>
      </c>
      <c r="J20" s="147">
        <f t="shared" si="0"/>
        <v>1.5261846664232914E-2</v>
      </c>
      <c r="K20" s="146">
        <v>160539</v>
      </c>
      <c r="L20" s="147">
        <f t="shared" si="0"/>
        <v>1.271100905856537E-2</v>
      </c>
      <c r="M20" s="146"/>
      <c r="N20" s="147"/>
    </row>
    <row r="21" spans="1:15" ht="15.75" x14ac:dyDescent="0.25">
      <c r="A21" s="1"/>
      <c r="B21" s="148" t="s">
        <v>32</v>
      </c>
      <c r="C21" s="149">
        <v>610766</v>
      </c>
      <c r="D21" s="150">
        <v>-0.67105747874249499</v>
      </c>
      <c r="E21" s="149">
        <v>774989</v>
      </c>
      <c r="F21" s="150">
        <f t="shared" si="0"/>
        <v>0.26888038954362226</v>
      </c>
      <c r="G21" s="149">
        <v>1753117</v>
      </c>
      <c r="H21" s="150">
        <f t="shared" si="0"/>
        <v>1.2621185591021291</v>
      </c>
      <c r="I21" s="149">
        <v>1886738</v>
      </c>
      <c r="J21" s="150">
        <f t="shared" si="0"/>
        <v>7.6219100037247856E-2</v>
      </c>
      <c r="K21" s="149">
        <v>1988780</v>
      </c>
      <c r="L21" s="150">
        <f t="shared" si="0"/>
        <v>5.4083820859069931E-2</v>
      </c>
      <c r="M21" s="149">
        <v>1504746</v>
      </c>
      <c r="N21" s="150">
        <v>1.1329474174484711E-2</v>
      </c>
    </row>
    <row r="22" spans="1:15" ht="6" customHeight="1" x14ac:dyDescent="0.25"/>
    <row r="23" spans="1:15" x14ac:dyDescent="0.25">
      <c r="B23" s="131" t="s">
        <v>57</v>
      </c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</row>
    <row r="24" spans="1:15" x14ac:dyDescent="0.25">
      <c r="K24" s="151"/>
      <c r="N24" s="103"/>
    </row>
    <row r="26" spans="1:15" ht="48.75" customHeight="1" thickBot="1" x14ac:dyDescent="0.3">
      <c r="B26" s="12" t="s">
        <v>288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" t="s">
        <v>96</v>
      </c>
    </row>
    <row r="27" spans="1:15" ht="10.5" customHeight="1" thickBot="1" x14ac:dyDescent="0.3">
      <c r="B27" s="132"/>
      <c r="C27" s="133"/>
      <c r="D27" s="132"/>
      <c r="E27" s="132"/>
      <c r="F27" s="132"/>
      <c r="G27" s="132"/>
      <c r="H27" s="132"/>
      <c r="I27" s="132"/>
      <c r="J27" s="132"/>
      <c r="K27" s="132"/>
      <c r="L27" s="132"/>
      <c r="M27" s="4"/>
      <c r="N27" s="4"/>
      <c r="O27" s="1" t="s">
        <v>97</v>
      </c>
    </row>
    <row r="28" spans="1:15" ht="22.5" thickTop="1" thickBot="1" x14ac:dyDescent="0.3">
      <c r="B28" s="152" t="s">
        <v>98</v>
      </c>
      <c r="C28" s="135" t="s">
        <v>139</v>
      </c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</row>
    <row r="29" spans="1:15" ht="22.5" thickTop="1" thickBot="1" x14ac:dyDescent="0.3">
      <c r="B29" s="137"/>
      <c r="C29" s="138">
        <f>C$7</f>
        <v>2020</v>
      </c>
      <c r="D29" s="139"/>
      <c r="E29" s="138">
        <f>E$7</f>
        <v>2021</v>
      </c>
      <c r="F29" s="139"/>
      <c r="G29" s="138">
        <f>G$7</f>
        <v>2022</v>
      </c>
      <c r="H29" s="139"/>
      <c r="I29" s="138">
        <f>I$7</f>
        <v>2023</v>
      </c>
      <c r="J29" s="139"/>
      <c r="K29" s="138">
        <f>K$7</f>
        <v>2024</v>
      </c>
      <c r="L29" s="139"/>
      <c r="M29" s="140">
        <f>M$7</f>
        <v>2025</v>
      </c>
      <c r="N29" s="141"/>
    </row>
    <row r="30" spans="1:15" ht="16.5" thickTop="1" thickBot="1" x14ac:dyDescent="0.3">
      <c r="B30" s="109"/>
      <c r="C30" s="142" t="s">
        <v>71</v>
      </c>
      <c r="D30" s="143" t="str">
        <f>CONCATENATE("var ",RIGHT(C29,2),"/",RIGHT(C29-1,2))</f>
        <v>var 20/19</v>
      </c>
      <c r="E30" s="144" t="s">
        <v>71</v>
      </c>
      <c r="F30" s="143" t="str">
        <f>CONCATENATE("var ",RIGHT(E29,2),"/",RIGHT(C29,2))</f>
        <v>var 21/20</v>
      </c>
      <c r="G30" s="144" t="s">
        <v>71</v>
      </c>
      <c r="H30" s="143" t="str">
        <f>CONCATENATE("var ",RIGHT(G29,2),"/",RIGHT(E29,2))</f>
        <v>var 22/21</v>
      </c>
      <c r="I30" s="144" t="s">
        <v>71</v>
      </c>
      <c r="J30" s="143" t="str">
        <f>CONCATENATE("var ",RIGHT(I29,2),"/",RIGHT(G29,2))</f>
        <v>var 23/22</v>
      </c>
      <c r="K30" s="144" t="s">
        <v>71</v>
      </c>
      <c r="L30" s="143" t="str">
        <f>CONCATENATE("var ",RIGHT(K29,2),"/",RIGHT(I29,2))</f>
        <v>var 24/23</v>
      </c>
      <c r="M30" s="144" t="s">
        <v>71</v>
      </c>
      <c r="N30" s="143" t="str">
        <f>CONCATENATE("var ",RIGHT(M29,2),"/",RIGHT(K29,2))</f>
        <v>var 25/24</v>
      </c>
    </row>
    <row r="31" spans="1:15" x14ac:dyDescent="0.25">
      <c r="B31" s="145" t="s">
        <v>73</v>
      </c>
      <c r="C31" s="146">
        <v>114606</v>
      </c>
      <c r="D31" s="147">
        <v>-7.2073320743603064E-3</v>
      </c>
      <c r="E31" s="146">
        <v>23694</v>
      </c>
      <c r="F31" s="147">
        <f t="shared" ref="F31:J43" si="2">IFERROR(E31/C31-1,"-")</f>
        <v>-0.79325689754463113</v>
      </c>
      <c r="G31" s="146">
        <v>90631</v>
      </c>
      <c r="H31" s="147">
        <f t="shared" si="2"/>
        <v>2.8250611969274924</v>
      </c>
      <c r="I31" s="146">
        <v>134558</v>
      </c>
      <c r="J31" s="147">
        <f t="shared" si="2"/>
        <v>0.48467963500347566</v>
      </c>
      <c r="K31" s="146">
        <v>142289</v>
      </c>
      <c r="L31" s="147">
        <f t="shared" ref="L31:L43" si="3">IFERROR(K31/I31-1,"-")</f>
        <v>5.7454777865307172E-2</v>
      </c>
      <c r="M31" s="146">
        <v>138341</v>
      </c>
      <c r="N31" s="147">
        <f t="shared" ref="N31:N39" si="4">IFERROR(M31/K31-1,"-")</f>
        <v>-2.7746347222905476E-2</v>
      </c>
    </row>
    <row r="32" spans="1:15" x14ac:dyDescent="0.25">
      <c r="B32" s="145" t="s">
        <v>75</v>
      </c>
      <c r="C32" s="146">
        <v>133643</v>
      </c>
      <c r="D32" s="147">
        <v>0.30898067524021267</v>
      </c>
      <c r="E32" s="146">
        <v>15152</v>
      </c>
      <c r="F32" s="147">
        <f t="shared" si="2"/>
        <v>-0.88662331734546518</v>
      </c>
      <c r="G32" s="146">
        <v>114673</v>
      </c>
      <c r="H32" s="147">
        <f t="shared" si="2"/>
        <v>6.5681758183738124</v>
      </c>
      <c r="I32" s="146">
        <v>128079</v>
      </c>
      <c r="J32" s="147">
        <f t="shared" si="2"/>
        <v>0.11690633366180347</v>
      </c>
      <c r="K32" s="146">
        <v>141936</v>
      </c>
      <c r="L32" s="147">
        <f t="shared" si="3"/>
        <v>0.10819103834352228</v>
      </c>
      <c r="M32" s="146">
        <v>137229</v>
      </c>
      <c r="N32" s="147">
        <f t="shared" si="4"/>
        <v>-3.3162833953331083E-2</v>
      </c>
    </row>
    <row r="33" spans="2:15" x14ac:dyDescent="0.25">
      <c r="B33" s="145" t="s">
        <v>77</v>
      </c>
      <c r="C33" s="146">
        <v>58888</v>
      </c>
      <c r="D33" s="147">
        <v>-0.47479107765578876</v>
      </c>
      <c r="E33" s="146">
        <v>17426</v>
      </c>
      <c r="F33" s="147">
        <f t="shared" si="2"/>
        <v>-0.70408232577095498</v>
      </c>
      <c r="G33" s="146">
        <v>121331</v>
      </c>
      <c r="H33" s="147">
        <f t="shared" si="2"/>
        <v>5.9626420291518425</v>
      </c>
      <c r="I33" s="146">
        <v>117104</v>
      </c>
      <c r="J33" s="147">
        <f t="shared" si="2"/>
        <v>-3.4838582060644052E-2</v>
      </c>
      <c r="K33" s="146">
        <v>145867</v>
      </c>
      <c r="L33" s="147">
        <f t="shared" si="3"/>
        <v>0.24561927858997135</v>
      </c>
      <c r="M33" s="146">
        <v>134131</v>
      </c>
      <c r="N33" s="147">
        <f t="shared" si="4"/>
        <v>-8.0456854531868016E-2</v>
      </c>
    </row>
    <row r="34" spans="2:15" x14ac:dyDescent="0.25">
      <c r="B34" s="145" t="s">
        <v>79</v>
      </c>
      <c r="C34" s="146">
        <v>0</v>
      </c>
      <c r="D34" s="147">
        <v>-1</v>
      </c>
      <c r="E34" s="146">
        <v>16297</v>
      </c>
      <c r="F34" s="147" t="str">
        <f t="shared" si="2"/>
        <v>-</v>
      </c>
      <c r="G34" s="146">
        <v>129658</v>
      </c>
      <c r="H34" s="147">
        <f t="shared" si="2"/>
        <v>6.9559428115604103</v>
      </c>
      <c r="I34" s="146">
        <v>120355</v>
      </c>
      <c r="J34" s="147">
        <f t="shared" si="2"/>
        <v>-7.1750296935013669E-2</v>
      </c>
      <c r="K34" s="146">
        <v>131033</v>
      </c>
      <c r="L34" s="147">
        <f t="shared" si="3"/>
        <v>8.8720867433841555E-2</v>
      </c>
      <c r="M34" s="146">
        <v>131324</v>
      </c>
      <c r="N34" s="147">
        <f t="shared" si="4"/>
        <v>2.2208146039546239E-3</v>
      </c>
    </row>
    <row r="35" spans="2:15" x14ac:dyDescent="0.25">
      <c r="B35" s="145" t="s">
        <v>81</v>
      </c>
      <c r="C35" s="146">
        <v>0</v>
      </c>
      <c r="D35" s="147">
        <v>-1</v>
      </c>
      <c r="E35" s="146">
        <v>18007</v>
      </c>
      <c r="F35" s="147" t="str">
        <f t="shared" si="2"/>
        <v>-</v>
      </c>
      <c r="G35" s="146">
        <v>112218</v>
      </c>
      <c r="H35" s="147">
        <f t="shared" si="2"/>
        <v>5.2319098128505583</v>
      </c>
      <c r="I35" s="146">
        <v>122105</v>
      </c>
      <c r="J35" s="147">
        <f t="shared" si="2"/>
        <v>8.8105295050704857E-2</v>
      </c>
      <c r="K35" s="146">
        <v>138860</v>
      </c>
      <c r="L35" s="147">
        <f t="shared" si="3"/>
        <v>0.1372179681421728</v>
      </c>
      <c r="M35" s="146">
        <v>120839</v>
      </c>
      <c r="N35" s="147">
        <f t="shared" si="4"/>
        <v>-0.12977819386432377</v>
      </c>
    </row>
    <row r="36" spans="2:15" x14ac:dyDescent="0.25">
      <c r="B36" s="145" t="s">
        <v>83</v>
      </c>
      <c r="C36" s="146">
        <v>0</v>
      </c>
      <c r="D36" s="147">
        <v>-1</v>
      </c>
      <c r="E36" s="146">
        <v>12366</v>
      </c>
      <c r="F36" s="147" t="str">
        <f t="shared" si="2"/>
        <v>-</v>
      </c>
      <c r="G36" s="146">
        <v>116273</v>
      </c>
      <c r="H36" s="147">
        <f t="shared" si="2"/>
        <v>8.4026362607148641</v>
      </c>
      <c r="I36" s="146">
        <v>123362</v>
      </c>
      <c r="J36" s="147">
        <f t="shared" si="2"/>
        <v>6.0968582560009699E-2</v>
      </c>
      <c r="K36" s="146">
        <v>137217</v>
      </c>
      <c r="L36" s="147">
        <f t="shared" si="3"/>
        <v>0.1123117329485579</v>
      </c>
      <c r="M36" s="146">
        <v>131926</v>
      </c>
      <c r="N36" s="147">
        <f t="shared" si="4"/>
        <v>-3.8559362178155809E-2</v>
      </c>
    </row>
    <row r="37" spans="2:15" x14ac:dyDescent="0.25">
      <c r="B37" s="145" t="s">
        <v>85</v>
      </c>
      <c r="C37" s="146">
        <v>0</v>
      </c>
      <c r="D37" s="147">
        <v>-1</v>
      </c>
      <c r="E37" s="146">
        <v>49368</v>
      </c>
      <c r="F37" s="147" t="str">
        <f t="shared" si="2"/>
        <v>-</v>
      </c>
      <c r="G37" s="146">
        <v>136571</v>
      </c>
      <c r="H37" s="147">
        <f t="shared" si="2"/>
        <v>1.7663871333657428</v>
      </c>
      <c r="I37" s="146">
        <v>139919</v>
      </c>
      <c r="J37" s="147">
        <f t="shared" si="2"/>
        <v>2.4514721280506135E-2</v>
      </c>
      <c r="K37" s="146">
        <v>146858</v>
      </c>
      <c r="L37" s="147">
        <f t="shared" si="3"/>
        <v>4.9592978794874121E-2</v>
      </c>
      <c r="M37" s="146">
        <v>152938</v>
      </c>
      <c r="N37" s="147">
        <f t="shared" si="4"/>
        <v>4.1400536572743674E-2</v>
      </c>
    </row>
    <row r="38" spans="2:15" x14ac:dyDescent="0.25">
      <c r="B38" s="145" t="s">
        <v>87</v>
      </c>
      <c r="C38" s="146">
        <v>52066</v>
      </c>
      <c r="D38" s="147">
        <v>-0.61346983318609372</v>
      </c>
      <c r="E38" s="146">
        <v>79694</v>
      </c>
      <c r="F38" s="147">
        <f t="shared" si="2"/>
        <v>0.53063419506011611</v>
      </c>
      <c r="G38" s="146">
        <v>151061</v>
      </c>
      <c r="H38" s="147">
        <f t="shared" si="2"/>
        <v>0.89551283659999492</v>
      </c>
      <c r="I38" s="146">
        <v>150474</v>
      </c>
      <c r="J38" s="147">
        <f t="shared" si="2"/>
        <v>-3.8858474391140208E-3</v>
      </c>
      <c r="K38" s="146">
        <v>148337</v>
      </c>
      <c r="L38" s="147">
        <f t="shared" si="3"/>
        <v>-1.4201789013384425E-2</v>
      </c>
      <c r="M38" s="146">
        <v>149422</v>
      </c>
      <c r="N38" s="147">
        <f t="shared" si="4"/>
        <v>7.3144259355386598E-3</v>
      </c>
    </row>
    <row r="39" spans="2:15" x14ac:dyDescent="0.25">
      <c r="B39" s="145" t="s">
        <v>89</v>
      </c>
      <c r="C39" s="146">
        <v>18190</v>
      </c>
      <c r="D39" s="147">
        <v>-0.85606216468577401</v>
      </c>
      <c r="E39" s="146">
        <v>77109</v>
      </c>
      <c r="F39" s="147">
        <f t="shared" si="2"/>
        <v>3.239087410665201</v>
      </c>
      <c r="G39" s="146">
        <v>116897</v>
      </c>
      <c r="H39" s="147">
        <f t="shared" si="2"/>
        <v>0.51599683564823828</v>
      </c>
      <c r="I39" s="146">
        <v>126900</v>
      </c>
      <c r="J39" s="147">
        <f t="shared" si="2"/>
        <v>8.557105828207745E-2</v>
      </c>
      <c r="K39" s="146">
        <v>122477</v>
      </c>
      <c r="L39" s="147">
        <f t="shared" si="3"/>
        <v>-3.4854215918045717E-2</v>
      </c>
      <c r="M39" s="146">
        <v>136310</v>
      </c>
      <c r="N39" s="147">
        <f t="shared" si="4"/>
        <v>0.11294365472700996</v>
      </c>
    </row>
    <row r="40" spans="2:15" x14ac:dyDescent="0.25">
      <c r="B40" s="145" t="s">
        <v>91</v>
      </c>
      <c r="C40" s="146">
        <v>20865</v>
      </c>
      <c r="D40" s="147">
        <v>-0.83336794019933558</v>
      </c>
      <c r="E40" s="146">
        <v>116948</v>
      </c>
      <c r="F40" s="147">
        <f t="shared" si="2"/>
        <v>4.6049844236760125</v>
      </c>
      <c r="G40" s="146">
        <v>130908</v>
      </c>
      <c r="H40" s="147">
        <f t="shared" si="2"/>
        <v>0.11936929233505489</v>
      </c>
      <c r="I40" s="146">
        <v>143241</v>
      </c>
      <c r="J40" s="147">
        <f t="shared" si="2"/>
        <v>9.421120176001474E-2</v>
      </c>
      <c r="K40" s="146">
        <v>149661</v>
      </c>
      <c r="L40" s="147">
        <f t="shared" si="3"/>
        <v>4.4819569815904625E-2</v>
      </c>
      <c r="M40" s="146"/>
      <c r="N40" s="147"/>
    </row>
    <row r="41" spans="2:15" x14ac:dyDescent="0.25">
      <c r="B41" s="145" t="s">
        <v>93</v>
      </c>
      <c r="C41" s="146">
        <v>26883</v>
      </c>
      <c r="D41" s="147">
        <v>-0.743213296398892</v>
      </c>
      <c r="E41" s="146">
        <v>114236</v>
      </c>
      <c r="F41" s="147">
        <f t="shared" si="2"/>
        <v>3.2493769296581485</v>
      </c>
      <c r="G41" s="146">
        <v>124620</v>
      </c>
      <c r="H41" s="147">
        <f t="shared" si="2"/>
        <v>9.0899541300465625E-2</v>
      </c>
      <c r="I41" s="146">
        <v>135531</v>
      </c>
      <c r="J41" s="147">
        <f t="shared" si="2"/>
        <v>8.7554164660568201E-2</v>
      </c>
      <c r="K41" s="146">
        <v>131764</v>
      </c>
      <c r="L41" s="147">
        <f t="shared" si="3"/>
        <v>-2.7794379145730463E-2</v>
      </c>
      <c r="M41" s="146"/>
      <c r="N41" s="147"/>
    </row>
    <row r="42" spans="2:15" x14ac:dyDescent="0.25">
      <c r="B42" s="145" t="s">
        <v>95</v>
      </c>
      <c r="C42" s="146">
        <v>28481</v>
      </c>
      <c r="D42" s="147">
        <v>-0.73962371096321222</v>
      </c>
      <c r="E42" s="146">
        <v>98119</v>
      </c>
      <c r="F42" s="147">
        <f t="shared" si="2"/>
        <v>2.4450686422527297</v>
      </c>
      <c r="G42" s="146">
        <v>127755</v>
      </c>
      <c r="H42" s="147">
        <f t="shared" si="2"/>
        <v>0.30204139870973012</v>
      </c>
      <c r="I42" s="146">
        <v>128235</v>
      </c>
      <c r="J42" s="147">
        <f t="shared" si="2"/>
        <v>3.7571914993541622E-3</v>
      </c>
      <c r="K42" s="146">
        <v>130081</v>
      </c>
      <c r="L42" s="147">
        <f t="shared" si="3"/>
        <v>1.4395445861114409E-2</v>
      </c>
      <c r="M42" s="146"/>
      <c r="N42" s="147"/>
    </row>
    <row r="43" spans="2:15" ht="15.75" x14ac:dyDescent="0.25">
      <c r="B43" s="148" t="s">
        <v>32</v>
      </c>
      <c r="C43" s="149">
        <v>473644</v>
      </c>
      <c r="D43" s="150">
        <v>-0.65632845446339694</v>
      </c>
      <c r="E43" s="149">
        <v>638416</v>
      </c>
      <c r="F43" s="150">
        <f t="shared" si="2"/>
        <v>0.347881531276655</v>
      </c>
      <c r="G43" s="149">
        <v>1472596</v>
      </c>
      <c r="H43" s="150">
        <f t="shared" si="2"/>
        <v>1.3066401844565299</v>
      </c>
      <c r="I43" s="149">
        <v>1569863</v>
      </c>
      <c r="J43" s="150">
        <f t="shared" si="2"/>
        <v>6.6051381370043183E-2</v>
      </c>
      <c r="K43" s="149">
        <v>1666380</v>
      </c>
      <c r="L43" s="150">
        <f t="shared" si="3"/>
        <v>6.1481161094949055E-2</v>
      </c>
      <c r="M43" s="149">
        <v>1232460</v>
      </c>
      <c r="N43" s="150">
        <v>-1.786155422775515E-2</v>
      </c>
    </row>
    <row r="44" spans="2:15" ht="6" customHeight="1" x14ac:dyDescent="0.25"/>
    <row r="45" spans="2:15" x14ac:dyDescent="0.25">
      <c r="B45" s="131" t="s">
        <v>57</v>
      </c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</row>
    <row r="48" spans="2:15" ht="48.75" customHeight="1" thickBot="1" x14ac:dyDescent="0.3">
      <c r="B48" s="12" t="s">
        <v>289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" t="s">
        <v>100</v>
      </c>
    </row>
    <row r="49" spans="1:15" ht="10.5" customHeight="1" thickBot="1" x14ac:dyDescent="0.3">
      <c r="B49" s="132"/>
      <c r="C49" s="133"/>
      <c r="D49" s="132"/>
      <c r="E49" s="132"/>
      <c r="F49" s="132"/>
      <c r="G49" s="132"/>
      <c r="H49" s="132"/>
      <c r="I49" s="132"/>
      <c r="J49" s="132"/>
      <c r="K49" s="132"/>
      <c r="L49" s="132"/>
      <c r="M49" s="4"/>
      <c r="N49" s="4"/>
      <c r="O49" s="1" t="s">
        <v>101</v>
      </c>
    </row>
    <row r="50" spans="1:15" ht="22.5" thickTop="1" thickBot="1" x14ac:dyDescent="0.3">
      <c r="B50" s="137"/>
      <c r="C50" s="135" t="s">
        <v>151</v>
      </c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</row>
    <row r="51" spans="1:15" ht="22.5" thickTop="1" thickBot="1" x14ac:dyDescent="0.3">
      <c r="B51" s="137"/>
      <c r="C51" s="138">
        <f>C$7</f>
        <v>2020</v>
      </c>
      <c r="D51" s="139"/>
      <c r="E51" s="138">
        <f>E$7</f>
        <v>2021</v>
      </c>
      <c r="F51" s="139"/>
      <c r="G51" s="138">
        <f>G$7</f>
        <v>2022</v>
      </c>
      <c r="H51" s="139"/>
      <c r="I51" s="138">
        <f>I$7</f>
        <v>2023</v>
      </c>
      <c r="J51" s="139"/>
      <c r="K51" s="138">
        <f>K$7</f>
        <v>2024</v>
      </c>
      <c r="L51" s="139"/>
      <c r="M51" s="140">
        <f>M$7</f>
        <v>2025</v>
      </c>
      <c r="N51" s="141"/>
    </row>
    <row r="52" spans="1:15" ht="16.5" thickTop="1" thickBot="1" x14ac:dyDescent="0.3">
      <c r="B52" s="109"/>
      <c r="C52" s="142" t="s">
        <v>71</v>
      </c>
      <c r="D52" s="143" t="str">
        <f>CONCATENATE("var ",RIGHT(C51,2),"/",RIGHT(C51-1,2))</f>
        <v>var 20/19</v>
      </c>
      <c r="E52" s="144" t="s">
        <v>71</v>
      </c>
      <c r="F52" s="143" t="str">
        <f>CONCATENATE("var ",RIGHT(E51,2),"/",RIGHT(C51,2))</f>
        <v>var 21/20</v>
      </c>
      <c r="G52" s="144" t="s">
        <v>71</v>
      </c>
      <c r="H52" s="143" t="str">
        <f>CONCATENATE("var ",RIGHT(G51,2),"/",RIGHT(E51,2))</f>
        <v>var 22/21</v>
      </c>
      <c r="I52" s="144" t="s">
        <v>71</v>
      </c>
      <c r="J52" s="143" t="str">
        <f>CONCATENATE("var ",RIGHT(I51,2),"/",RIGHT(G51,2))</f>
        <v>var 23/22</v>
      </c>
      <c r="K52" s="144" t="s">
        <v>71</v>
      </c>
      <c r="L52" s="143" t="str">
        <f>CONCATENATE("var ",RIGHT(K51,2),"/",RIGHT(I51,2))</f>
        <v>var 24/23</v>
      </c>
      <c r="M52" s="144" t="s">
        <v>71</v>
      </c>
      <c r="N52" s="143" t="str">
        <f>CONCATENATE("var ",RIGHT(M51,2),"/",RIGHT(K51,2))</f>
        <v>var 25/24</v>
      </c>
    </row>
    <row r="53" spans="1:15" x14ac:dyDescent="0.25">
      <c r="A53" s="1"/>
      <c r="B53" s="145" t="s">
        <v>73</v>
      </c>
      <c r="C53" s="146">
        <v>88467</v>
      </c>
      <c r="D53" s="147">
        <v>-0.12364659382460452</v>
      </c>
      <c r="E53" s="146">
        <v>0</v>
      </c>
      <c r="F53" s="147">
        <f t="shared" ref="F53:J65" si="5">IFERROR(E53/C53-1,"-")</f>
        <v>-1</v>
      </c>
      <c r="G53" s="146">
        <v>73133</v>
      </c>
      <c r="H53" s="147" t="str">
        <f t="shared" si="5"/>
        <v>-</v>
      </c>
      <c r="I53" s="146">
        <v>113052</v>
      </c>
      <c r="J53" s="147">
        <f t="shared" si="5"/>
        <v>0.54584113874721396</v>
      </c>
      <c r="K53" s="146">
        <v>113741</v>
      </c>
      <c r="L53" s="147">
        <f t="shared" ref="L53:L65" si="6">IFERROR(K53/I53-1,"-")</f>
        <v>6.0945405654035945E-3</v>
      </c>
      <c r="M53" s="146">
        <v>109525</v>
      </c>
      <c r="N53" s="147">
        <f t="shared" ref="N53:N61" si="7">IFERROR(M53/K53-1,"-")</f>
        <v>-3.7066669011174502E-2</v>
      </c>
    </row>
    <row r="54" spans="1:15" x14ac:dyDescent="0.25">
      <c r="A54" s="1">
        <v>2</v>
      </c>
      <c r="B54" s="145" t="s">
        <v>75</v>
      </c>
      <c r="C54" s="146">
        <v>107490</v>
      </c>
      <c r="D54" s="147">
        <v>0.1829767564712097</v>
      </c>
      <c r="E54" s="146">
        <v>0</v>
      </c>
      <c r="F54" s="147">
        <f t="shared" si="5"/>
        <v>-1</v>
      </c>
      <c r="G54" s="146">
        <v>90824</v>
      </c>
      <c r="H54" s="147" t="str">
        <f t="shared" si="5"/>
        <v>-</v>
      </c>
      <c r="I54" s="146">
        <v>109569</v>
      </c>
      <c r="J54" s="147">
        <f t="shared" si="5"/>
        <v>0.2063881793358584</v>
      </c>
      <c r="K54" s="146">
        <v>113810</v>
      </c>
      <c r="L54" s="147">
        <f t="shared" si="6"/>
        <v>3.8706203396946304E-2</v>
      </c>
      <c r="M54" s="146">
        <v>111410</v>
      </c>
      <c r="N54" s="147">
        <f t="shared" si="7"/>
        <v>-2.1087777875406388E-2</v>
      </c>
    </row>
    <row r="55" spans="1:15" x14ac:dyDescent="0.25">
      <c r="A55" s="1">
        <v>3</v>
      </c>
      <c r="B55" s="145" t="s">
        <v>77</v>
      </c>
      <c r="C55" s="146">
        <v>46120</v>
      </c>
      <c r="D55" s="147">
        <v>-0.52628443476653175</v>
      </c>
      <c r="E55" s="146">
        <v>0</v>
      </c>
      <c r="F55" s="147">
        <f t="shared" si="5"/>
        <v>-1</v>
      </c>
      <c r="G55" s="146">
        <v>93707</v>
      </c>
      <c r="H55" s="147" t="str">
        <f t="shared" si="5"/>
        <v>-</v>
      </c>
      <c r="I55" s="146">
        <v>96770</v>
      </c>
      <c r="J55" s="147">
        <f t="shared" si="5"/>
        <v>3.2686992433863082E-2</v>
      </c>
      <c r="K55" s="146">
        <v>116605</v>
      </c>
      <c r="L55" s="147">
        <f t="shared" si="6"/>
        <v>0.20497054872377807</v>
      </c>
      <c r="M55" s="146">
        <v>110011</v>
      </c>
      <c r="N55" s="147">
        <f t="shared" si="7"/>
        <v>-5.6549890656489854E-2</v>
      </c>
    </row>
    <row r="56" spans="1:15" x14ac:dyDescent="0.25">
      <c r="A56" s="1">
        <v>4</v>
      </c>
      <c r="B56" s="145" t="s">
        <v>79</v>
      </c>
      <c r="C56" s="146">
        <v>0</v>
      </c>
      <c r="D56" s="147">
        <v>-1</v>
      </c>
      <c r="E56" s="146">
        <v>0</v>
      </c>
      <c r="F56" s="147" t="str">
        <f t="shared" si="5"/>
        <v>-</v>
      </c>
      <c r="G56" s="146">
        <v>104823</v>
      </c>
      <c r="H56" s="147" t="str">
        <f t="shared" si="5"/>
        <v>-</v>
      </c>
      <c r="I56" s="146">
        <v>98829</v>
      </c>
      <c r="J56" s="147">
        <f t="shared" si="5"/>
        <v>-5.7182106980338321E-2</v>
      </c>
      <c r="K56" s="146">
        <v>107032</v>
      </c>
      <c r="L56" s="147">
        <f t="shared" si="6"/>
        <v>8.3001952868085205E-2</v>
      </c>
      <c r="M56" s="146">
        <v>107149</v>
      </c>
      <c r="N56" s="147">
        <f t="shared" si="7"/>
        <v>1.0931310262352056E-3</v>
      </c>
    </row>
    <row r="57" spans="1:15" x14ac:dyDescent="0.25">
      <c r="A57" s="1">
        <v>5</v>
      </c>
      <c r="B57" s="145" t="s">
        <v>81</v>
      </c>
      <c r="C57" s="146">
        <v>0</v>
      </c>
      <c r="D57" s="147">
        <v>-1</v>
      </c>
      <c r="E57" s="146">
        <v>0</v>
      </c>
      <c r="F57" s="147" t="str">
        <f t="shared" si="5"/>
        <v>-</v>
      </c>
      <c r="G57" s="146">
        <v>85028</v>
      </c>
      <c r="H57" s="147" t="str">
        <f t="shared" si="5"/>
        <v>-</v>
      </c>
      <c r="I57" s="146">
        <v>95544</v>
      </c>
      <c r="J57" s="147">
        <f t="shared" si="5"/>
        <v>0.12367690643082274</v>
      </c>
      <c r="K57" s="146">
        <v>108036</v>
      </c>
      <c r="L57" s="147">
        <f t="shared" si="6"/>
        <v>0.13074604370761111</v>
      </c>
      <c r="M57" s="146">
        <v>94476</v>
      </c>
      <c r="N57" s="147">
        <f t="shared" si="7"/>
        <v>-0.12551371764967234</v>
      </c>
    </row>
    <row r="58" spans="1:15" x14ac:dyDescent="0.25">
      <c r="A58" s="1">
        <v>6</v>
      </c>
      <c r="B58" s="145" t="s">
        <v>83</v>
      </c>
      <c r="C58" s="146">
        <v>0</v>
      </c>
      <c r="D58" s="147">
        <v>-1</v>
      </c>
      <c r="E58" s="146">
        <v>0</v>
      </c>
      <c r="F58" s="147" t="str">
        <f t="shared" si="5"/>
        <v>-</v>
      </c>
      <c r="G58" s="146">
        <v>88450</v>
      </c>
      <c r="H58" s="147" t="str">
        <f t="shared" si="5"/>
        <v>-</v>
      </c>
      <c r="I58" s="146">
        <v>98589</v>
      </c>
      <c r="J58" s="147">
        <f t="shared" si="5"/>
        <v>0.11462973431317125</v>
      </c>
      <c r="K58" s="146">
        <v>106021</v>
      </c>
      <c r="L58" s="147">
        <f t="shared" si="6"/>
        <v>7.5383663491870312E-2</v>
      </c>
      <c r="M58" s="146">
        <v>106243</v>
      </c>
      <c r="N58" s="147">
        <f t="shared" si="7"/>
        <v>2.0939247884852463E-3</v>
      </c>
    </row>
    <row r="59" spans="1:15" x14ac:dyDescent="0.25">
      <c r="A59" s="1">
        <v>7</v>
      </c>
      <c r="B59" s="145" t="s">
        <v>85</v>
      </c>
      <c r="C59" s="146">
        <v>0</v>
      </c>
      <c r="D59" s="147">
        <v>-1</v>
      </c>
      <c r="E59" s="146">
        <v>36141</v>
      </c>
      <c r="F59" s="147" t="str">
        <f t="shared" si="5"/>
        <v>-</v>
      </c>
      <c r="G59" s="146">
        <v>106881</v>
      </c>
      <c r="H59" s="147">
        <f t="shared" si="5"/>
        <v>1.9573337760438285</v>
      </c>
      <c r="I59" s="146">
        <v>111016</v>
      </c>
      <c r="J59" s="147">
        <f t="shared" si="5"/>
        <v>3.8687886528007809E-2</v>
      </c>
      <c r="K59" s="146">
        <v>115402</v>
      </c>
      <c r="L59" s="147">
        <f t="shared" si="6"/>
        <v>3.9507818692801067E-2</v>
      </c>
      <c r="M59" s="146">
        <v>123116</v>
      </c>
      <c r="N59" s="147">
        <f t="shared" si="7"/>
        <v>6.6844595414290886E-2</v>
      </c>
    </row>
    <row r="60" spans="1:15" x14ac:dyDescent="0.25">
      <c r="A60" s="1">
        <v>8</v>
      </c>
      <c r="B60" s="145" t="s">
        <v>87</v>
      </c>
      <c r="C60" s="146">
        <v>39936</v>
      </c>
      <c r="D60" s="147">
        <v>-0.62364649006248052</v>
      </c>
      <c r="E60" s="146">
        <v>54749</v>
      </c>
      <c r="F60" s="147">
        <f t="shared" si="5"/>
        <v>0.37091846955128216</v>
      </c>
      <c r="G60" s="146">
        <v>121705</v>
      </c>
      <c r="H60" s="147">
        <f t="shared" si="5"/>
        <v>1.2229629764927212</v>
      </c>
      <c r="I60" s="146">
        <v>120661</v>
      </c>
      <c r="J60" s="147">
        <f t="shared" si="5"/>
        <v>-8.5781192227106784E-3</v>
      </c>
      <c r="K60" s="146">
        <v>117130</v>
      </c>
      <c r="L60" s="147">
        <f t="shared" si="6"/>
        <v>-2.926380520632188E-2</v>
      </c>
      <c r="M60" s="146">
        <v>119132</v>
      </c>
      <c r="N60" s="147">
        <f t="shared" si="7"/>
        <v>1.7092119866814581E-2</v>
      </c>
    </row>
    <row r="61" spans="1:15" x14ac:dyDescent="0.25">
      <c r="A61" s="1">
        <v>9</v>
      </c>
      <c r="B61" s="145" t="s">
        <v>89</v>
      </c>
      <c r="C61" s="146">
        <v>0</v>
      </c>
      <c r="D61" s="147">
        <v>-1</v>
      </c>
      <c r="E61" s="146">
        <v>58323</v>
      </c>
      <c r="F61" s="147" t="str">
        <f t="shared" si="5"/>
        <v>-</v>
      </c>
      <c r="G61" s="146">
        <v>91809</v>
      </c>
      <c r="H61" s="147">
        <f t="shared" si="5"/>
        <v>0.57414742040018507</v>
      </c>
      <c r="I61" s="146">
        <v>98874</v>
      </c>
      <c r="J61" s="147">
        <f t="shared" si="5"/>
        <v>7.695323987844338E-2</v>
      </c>
      <c r="K61" s="146">
        <v>96825</v>
      </c>
      <c r="L61" s="147">
        <f t="shared" si="6"/>
        <v>-2.0723344863159188E-2</v>
      </c>
      <c r="M61" s="146">
        <v>109093</v>
      </c>
      <c r="N61" s="147">
        <f t="shared" si="7"/>
        <v>0.12670281435579644</v>
      </c>
    </row>
    <row r="62" spans="1:15" x14ac:dyDescent="0.25">
      <c r="A62" s="1">
        <v>10</v>
      </c>
      <c r="B62" s="145" t="s">
        <v>91</v>
      </c>
      <c r="C62" s="146">
        <v>0</v>
      </c>
      <c r="D62" s="147">
        <v>-1</v>
      </c>
      <c r="E62" s="146">
        <v>93826</v>
      </c>
      <c r="F62" s="147" t="str">
        <f t="shared" si="5"/>
        <v>-</v>
      </c>
      <c r="G62" s="146">
        <v>104534</v>
      </c>
      <c r="H62" s="147">
        <f t="shared" si="5"/>
        <v>0.1141261484023619</v>
      </c>
      <c r="I62" s="146">
        <v>116543</v>
      </c>
      <c r="J62" s="147">
        <f t="shared" si="5"/>
        <v>0.11488128264488107</v>
      </c>
      <c r="K62" s="146">
        <v>123226</v>
      </c>
      <c r="L62" s="147">
        <f t="shared" si="6"/>
        <v>5.734364140274395E-2</v>
      </c>
      <c r="M62" s="146"/>
      <c r="N62" s="147"/>
    </row>
    <row r="63" spans="1:15" x14ac:dyDescent="0.25">
      <c r="A63" s="1">
        <v>11</v>
      </c>
      <c r="B63" s="145" t="s">
        <v>93</v>
      </c>
      <c r="C63" s="146">
        <v>0</v>
      </c>
      <c r="D63" s="147">
        <v>-1</v>
      </c>
      <c r="E63" s="146">
        <v>86589</v>
      </c>
      <c r="F63" s="147" t="str">
        <f t="shared" si="5"/>
        <v>-</v>
      </c>
      <c r="G63" s="146">
        <v>99553</v>
      </c>
      <c r="H63" s="147">
        <f t="shared" si="5"/>
        <v>0.14971878645093484</v>
      </c>
      <c r="I63" s="146">
        <v>110808</v>
      </c>
      <c r="J63" s="147">
        <f t="shared" si="5"/>
        <v>0.11305535744779172</v>
      </c>
      <c r="K63" s="146">
        <v>105403</v>
      </c>
      <c r="L63" s="147">
        <f t="shared" si="6"/>
        <v>-4.8778066565590916E-2</v>
      </c>
      <c r="M63" s="146"/>
      <c r="N63" s="147"/>
    </row>
    <row r="64" spans="1:15" x14ac:dyDescent="0.25">
      <c r="A64" s="1">
        <v>12</v>
      </c>
      <c r="B64" s="145" t="s">
        <v>95</v>
      </c>
      <c r="C64" s="146">
        <v>0</v>
      </c>
      <c r="D64" s="147">
        <v>-1</v>
      </c>
      <c r="E64" s="146">
        <v>76578</v>
      </c>
      <c r="F64" s="147" t="str">
        <f t="shared" si="5"/>
        <v>-</v>
      </c>
      <c r="G64" s="146">
        <v>101660</v>
      </c>
      <c r="H64" s="147">
        <f t="shared" si="5"/>
        <v>0.3275353234610463</v>
      </c>
      <c r="I64" s="146">
        <v>103266</v>
      </c>
      <c r="J64" s="147">
        <f t="shared" si="5"/>
        <v>1.5797757229982334E-2</v>
      </c>
      <c r="K64" s="146">
        <v>105060</v>
      </c>
      <c r="L64" s="147">
        <f t="shared" si="6"/>
        <v>1.7372610539771127E-2</v>
      </c>
      <c r="M64" s="146"/>
      <c r="N64" s="147"/>
    </row>
    <row r="65" spans="1:15" ht="15.75" x14ac:dyDescent="0.25">
      <c r="B65" s="148" t="s">
        <v>32</v>
      </c>
      <c r="C65" s="149">
        <v>0</v>
      </c>
      <c r="D65" s="150">
        <v>-1</v>
      </c>
      <c r="E65" s="149">
        <v>497318</v>
      </c>
      <c r="F65" s="150" t="str">
        <f t="shared" si="5"/>
        <v>-</v>
      </c>
      <c r="G65" s="149">
        <v>1162107</v>
      </c>
      <c r="H65" s="150">
        <f t="shared" si="5"/>
        <v>1.3367483179776318</v>
      </c>
      <c r="I65" s="149">
        <v>1273521</v>
      </c>
      <c r="J65" s="150">
        <f t="shared" si="5"/>
        <v>9.5872411060255125E-2</v>
      </c>
      <c r="K65" s="149">
        <v>1328291</v>
      </c>
      <c r="L65" s="150">
        <f t="shared" si="6"/>
        <v>4.3006750575765862E-2</v>
      </c>
      <c r="M65" s="149">
        <v>990155</v>
      </c>
      <c r="N65" s="150">
        <v>-4.4711351877434469E-3</v>
      </c>
    </row>
    <row r="66" spans="1:15" ht="6" customHeight="1" x14ac:dyDescent="0.25"/>
    <row r="67" spans="1:15" x14ac:dyDescent="0.25">
      <c r="B67" s="131" t="s">
        <v>57</v>
      </c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</row>
    <row r="70" spans="1:15" ht="48.75" customHeight="1" thickBot="1" x14ac:dyDescent="0.3">
      <c r="B70" s="12" t="s">
        <v>290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" t="s">
        <v>103</v>
      </c>
    </row>
    <row r="71" spans="1:15" ht="10.5" customHeight="1" thickBot="1" x14ac:dyDescent="0.3">
      <c r="B71" s="132"/>
      <c r="C71" s="133"/>
      <c r="D71" s="132"/>
      <c r="E71" s="132"/>
      <c r="F71" s="132"/>
      <c r="G71" s="132"/>
      <c r="H71" s="132"/>
      <c r="I71" s="132"/>
      <c r="J71" s="132"/>
      <c r="K71" s="132"/>
      <c r="L71" s="132"/>
      <c r="M71" s="4"/>
      <c r="N71" s="4"/>
      <c r="O71" s="1" t="s">
        <v>104</v>
      </c>
    </row>
    <row r="72" spans="1:15" ht="22.5" thickTop="1" thickBot="1" x14ac:dyDescent="0.3">
      <c r="B72" s="137"/>
      <c r="C72" s="135" t="s">
        <v>64</v>
      </c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</row>
    <row r="73" spans="1:15" ht="22.5" thickTop="1" thickBot="1" x14ac:dyDescent="0.3">
      <c r="B73" s="137"/>
      <c r="C73" s="138">
        <f>C$7</f>
        <v>2020</v>
      </c>
      <c r="D73" s="139"/>
      <c r="E73" s="138">
        <f>E$7</f>
        <v>2021</v>
      </c>
      <c r="F73" s="139"/>
      <c r="G73" s="138">
        <f>G$7</f>
        <v>2022</v>
      </c>
      <c r="H73" s="139"/>
      <c r="I73" s="138">
        <f>I$7</f>
        <v>2023</v>
      </c>
      <c r="J73" s="139"/>
      <c r="K73" s="138">
        <f>K$7</f>
        <v>2024</v>
      </c>
      <c r="L73" s="139"/>
      <c r="M73" s="140">
        <f>M$7</f>
        <v>2025</v>
      </c>
      <c r="N73" s="141"/>
    </row>
    <row r="74" spans="1:15" ht="16.5" thickTop="1" thickBot="1" x14ac:dyDescent="0.3">
      <c r="B74" s="109"/>
      <c r="C74" s="142" t="s">
        <v>71</v>
      </c>
      <c r="D74" s="143" t="str">
        <f>CONCATENATE("var ",RIGHT(C73,2),"/",RIGHT(C73-1,2))</f>
        <v>var 20/19</v>
      </c>
      <c r="E74" s="144" t="s">
        <v>71</v>
      </c>
      <c r="F74" s="143" t="str">
        <f>CONCATENATE("var ",RIGHT(E73,2),"/",RIGHT(C73,2))</f>
        <v>var 21/20</v>
      </c>
      <c r="G74" s="144" t="s">
        <v>71</v>
      </c>
      <c r="H74" s="143" t="str">
        <f>CONCATENATE("var ",RIGHT(G73,2),"/",RIGHT(E73,2))</f>
        <v>var 22/21</v>
      </c>
      <c r="I74" s="144" t="s">
        <v>71</v>
      </c>
      <c r="J74" s="143" t="str">
        <f>CONCATENATE("var ",RIGHT(I73,2),"/",RIGHT(G73,2))</f>
        <v>var 23/22</v>
      </c>
      <c r="K74" s="144" t="s">
        <v>71</v>
      </c>
      <c r="L74" s="143" t="str">
        <f>CONCATENATE("var ",RIGHT(K73,2),"/",RIGHT(I73,2))</f>
        <v>var 24/23</v>
      </c>
      <c r="M74" s="144" t="s">
        <v>71</v>
      </c>
      <c r="N74" s="143" t="str">
        <f>CONCATENATE("var ",RIGHT(M73,2),"/",RIGHT(K73,2))</f>
        <v>var 25/24</v>
      </c>
    </row>
    <row r="75" spans="1:15" x14ac:dyDescent="0.25">
      <c r="A75" s="1">
        <v>1</v>
      </c>
      <c r="B75" s="145" t="s">
        <v>73</v>
      </c>
      <c r="C75" s="146">
        <v>26139</v>
      </c>
      <c r="D75" s="147">
        <v>0.80405825108703155</v>
      </c>
      <c r="E75" s="146">
        <v>0</v>
      </c>
      <c r="F75" s="147">
        <f t="shared" ref="F75:J87" si="8">IFERROR(E75/C75-1,"-")</f>
        <v>-1</v>
      </c>
      <c r="G75" s="146">
        <v>17498</v>
      </c>
      <c r="H75" s="147" t="str">
        <f t="shared" si="8"/>
        <v>-</v>
      </c>
      <c r="I75" s="146">
        <v>21506</v>
      </c>
      <c r="J75" s="147">
        <f t="shared" si="8"/>
        <v>0.22905474911418455</v>
      </c>
      <c r="K75" s="146">
        <v>28548</v>
      </c>
      <c r="L75" s="147">
        <f t="shared" ref="L75:L87" si="9">IFERROR(K75/I75-1,"-")</f>
        <v>0.32744350413838008</v>
      </c>
      <c r="M75" s="146">
        <v>28816</v>
      </c>
      <c r="N75" s="147">
        <f t="shared" ref="N75:N83" si="10">IFERROR(M75/K75-1,"-")</f>
        <v>9.3876979122879955E-3</v>
      </c>
    </row>
    <row r="76" spans="1:15" x14ac:dyDescent="0.25">
      <c r="A76" s="1">
        <v>2</v>
      </c>
      <c r="B76" s="145" t="s">
        <v>75</v>
      </c>
      <c r="C76" s="146">
        <v>26153</v>
      </c>
      <c r="D76" s="147">
        <v>1.3282293243122942</v>
      </c>
      <c r="E76" s="146">
        <v>0</v>
      </c>
      <c r="F76" s="147">
        <f t="shared" si="8"/>
        <v>-1</v>
      </c>
      <c r="G76" s="146">
        <v>23849</v>
      </c>
      <c r="H76" s="147" t="str">
        <f t="shared" si="8"/>
        <v>-</v>
      </c>
      <c r="I76" s="146">
        <v>18510</v>
      </c>
      <c r="J76" s="147">
        <f t="shared" si="8"/>
        <v>-0.22386682879785313</v>
      </c>
      <c r="K76" s="146">
        <v>28126</v>
      </c>
      <c r="L76" s="147">
        <f t="shared" si="9"/>
        <v>0.51950297136682866</v>
      </c>
      <c r="M76" s="146">
        <v>25819</v>
      </c>
      <c r="N76" s="147">
        <f t="shared" si="10"/>
        <v>-8.2023750266657203E-2</v>
      </c>
    </row>
    <row r="77" spans="1:15" x14ac:dyDescent="0.25">
      <c r="A77" s="1">
        <v>3</v>
      </c>
      <c r="B77" s="145" t="s">
        <v>77</v>
      </c>
      <c r="C77" s="146">
        <v>12768</v>
      </c>
      <c r="D77" s="147">
        <v>-0.13525228581103965</v>
      </c>
      <c r="E77" s="146">
        <v>0</v>
      </c>
      <c r="F77" s="147">
        <f t="shared" si="8"/>
        <v>-1</v>
      </c>
      <c r="G77" s="146">
        <v>27624</v>
      </c>
      <c r="H77" s="147" t="str">
        <f t="shared" si="8"/>
        <v>-</v>
      </c>
      <c r="I77" s="146">
        <v>20334</v>
      </c>
      <c r="J77" s="147">
        <f t="shared" si="8"/>
        <v>-0.26390095569070371</v>
      </c>
      <c r="K77" s="146">
        <v>29262</v>
      </c>
      <c r="L77" s="147">
        <f t="shared" si="9"/>
        <v>0.43906757155503096</v>
      </c>
      <c r="M77" s="146">
        <v>24120</v>
      </c>
      <c r="N77" s="147">
        <f t="shared" si="10"/>
        <v>-0.17572278039778555</v>
      </c>
    </row>
    <row r="78" spans="1:15" x14ac:dyDescent="0.25">
      <c r="A78" s="1">
        <v>4</v>
      </c>
      <c r="B78" s="145" t="s">
        <v>79</v>
      </c>
      <c r="C78" s="146">
        <v>0</v>
      </c>
      <c r="D78" s="147">
        <v>-1</v>
      </c>
      <c r="E78" s="146">
        <v>0</v>
      </c>
      <c r="F78" s="147" t="str">
        <f t="shared" si="8"/>
        <v>-</v>
      </c>
      <c r="G78" s="146">
        <v>24835</v>
      </c>
      <c r="H78" s="147" t="str">
        <f t="shared" si="8"/>
        <v>-</v>
      </c>
      <c r="I78" s="146">
        <v>21526</v>
      </c>
      <c r="J78" s="147">
        <f t="shared" si="8"/>
        <v>-0.13323937990738877</v>
      </c>
      <c r="K78" s="146">
        <v>24001</v>
      </c>
      <c r="L78" s="147">
        <f t="shared" si="9"/>
        <v>0.11497723682988004</v>
      </c>
      <c r="M78" s="146">
        <v>24175</v>
      </c>
      <c r="N78" s="147">
        <f t="shared" si="10"/>
        <v>7.2496979292528962E-3</v>
      </c>
    </row>
    <row r="79" spans="1:15" x14ac:dyDescent="0.25">
      <c r="A79" s="1">
        <v>5</v>
      </c>
      <c r="B79" s="145" t="s">
        <v>81</v>
      </c>
      <c r="C79" s="146">
        <v>0</v>
      </c>
      <c r="D79" s="147">
        <v>-1</v>
      </c>
      <c r="E79" s="146">
        <v>0</v>
      </c>
      <c r="F79" s="147" t="str">
        <f t="shared" si="8"/>
        <v>-</v>
      </c>
      <c r="G79" s="146">
        <v>27190</v>
      </c>
      <c r="H79" s="147" t="str">
        <f t="shared" si="8"/>
        <v>-</v>
      </c>
      <c r="I79" s="146">
        <v>26561</v>
      </c>
      <c r="J79" s="147">
        <f t="shared" si="8"/>
        <v>-2.3133504965060725E-2</v>
      </c>
      <c r="K79" s="146">
        <v>30824</v>
      </c>
      <c r="L79" s="147">
        <f t="shared" si="9"/>
        <v>0.16049847520801164</v>
      </c>
      <c r="M79" s="146">
        <v>26363</v>
      </c>
      <c r="N79" s="147">
        <f t="shared" si="10"/>
        <v>-0.14472488969634056</v>
      </c>
    </row>
    <row r="80" spans="1:15" x14ac:dyDescent="0.25">
      <c r="A80" s="1">
        <v>6</v>
      </c>
      <c r="B80" s="145" t="s">
        <v>83</v>
      </c>
      <c r="C80" s="146">
        <v>0</v>
      </c>
      <c r="D80" s="147">
        <v>-1</v>
      </c>
      <c r="E80" s="146">
        <v>0</v>
      </c>
      <c r="F80" s="147" t="str">
        <f t="shared" si="8"/>
        <v>-</v>
      </c>
      <c r="G80" s="146">
        <v>27823</v>
      </c>
      <c r="H80" s="147" t="str">
        <f t="shared" si="8"/>
        <v>-</v>
      </c>
      <c r="I80" s="146">
        <v>24773</v>
      </c>
      <c r="J80" s="147">
        <f t="shared" si="8"/>
        <v>-0.10962153613916548</v>
      </c>
      <c r="K80" s="146">
        <v>31196</v>
      </c>
      <c r="L80" s="147">
        <f t="shared" si="9"/>
        <v>0.25927420982521299</v>
      </c>
      <c r="M80" s="146">
        <v>25683</v>
      </c>
      <c r="N80" s="147">
        <f t="shared" si="10"/>
        <v>-0.17672137453519687</v>
      </c>
    </row>
    <row r="81" spans="1:15" x14ac:dyDescent="0.25">
      <c r="A81" s="1">
        <v>7</v>
      </c>
      <c r="B81" s="145" t="s">
        <v>85</v>
      </c>
      <c r="C81" s="146">
        <v>0</v>
      </c>
      <c r="D81" s="147">
        <v>-1</v>
      </c>
      <c r="E81" s="146">
        <v>13227</v>
      </c>
      <c r="F81" s="147" t="str">
        <f t="shared" si="8"/>
        <v>-</v>
      </c>
      <c r="G81" s="146">
        <v>29690</v>
      </c>
      <c r="H81" s="147">
        <f t="shared" si="8"/>
        <v>1.2446510924623877</v>
      </c>
      <c r="I81" s="146">
        <v>28903</v>
      </c>
      <c r="J81" s="147">
        <f t="shared" si="8"/>
        <v>-2.6507241495453027E-2</v>
      </c>
      <c r="K81" s="146">
        <v>31456</v>
      </c>
      <c r="L81" s="147">
        <f t="shared" si="9"/>
        <v>8.8329931149015772E-2</v>
      </c>
      <c r="M81" s="146">
        <v>29822</v>
      </c>
      <c r="N81" s="147">
        <f t="shared" si="10"/>
        <v>-5.1945574771108838E-2</v>
      </c>
    </row>
    <row r="82" spans="1:15" x14ac:dyDescent="0.25">
      <c r="A82" s="1">
        <v>8</v>
      </c>
      <c r="B82" s="145" t="s">
        <v>87</v>
      </c>
      <c r="C82" s="146">
        <v>12130</v>
      </c>
      <c r="D82" s="147">
        <v>-0.57569609626416685</v>
      </c>
      <c r="E82" s="146">
        <v>24945</v>
      </c>
      <c r="F82" s="147">
        <f t="shared" si="8"/>
        <v>1.0564715581203625</v>
      </c>
      <c r="G82" s="146">
        <v>29356</v>
      </c>
      <c r="H82" s="147">
        <f t="shared" si="8"/>
        <v>0.17682902385247545</v>
      </c>
      <c r="I82" s="146">
        <v>29813</v>
      </c>
      <c r="J82" s="147">
        <f t="shared" si="8"/>
        <v>1.5567516010355664E-2</v>
      </c>
      <c r="K82" s="146">
        <v>31207</v>
      </c>
      <c r="L82" s="147">
        <f t="shared" si="9"/>
        <v>4.6758125649884352E-2</v>
      </c>
      <c r="M82" s="146">
        <v>30290</v>
      </c>
      <c r="N82" s="147">
        <f t="shared" si="10"/>
        <v>-2.9384432979780217E-2</v>
      </c>
    </row>
    <row r="83" spans="1:15" x14ac:dyDescent="0.25">
      <c r="A83" s="1">
        <v>9</v>
      </c>
      <c r="B83" s="145" t="s">
        <v>89</v>
      </c>
      <c r="C83" s="146">
        <v>0</v>
      </c>
      <c r="D83" s="147">
        <v>-1</v>
      </c>
      <c r="E83" s="146">
        <v>18786</v>
      </c>
      <c r="F83" s="147" t="str">
        <f t="shared" si="8"/>
        <v>-</v>
      </c>
      <c r="G83" s="146">
        <v>25088</v>
      </c>
      <c r="H83" s="147">
        <f t="shared" si="8"/>
        <v>0.33546257851591621</v>
      </c>
      <c r="I83" s="146">
        <v>28026</v>
      </c>
      <c r="J83" s="147">
        <f t="shared" si="8"/>
        <v>0.11710778061224492</v>
      </c>
      <c r="K83" s="146">
        <v>25652</v>
      </c>
      <c r="L83" s="147">
        <f t="shared" si="9"/>
        <v>-8.470705773210585E-2</v>
      </c>
      <c r="M83" s="146">
        <v>27217</v>
      </c>
      <c r="N83" s="147">
        <f t="shared" si="10"/>
        <v>6.1008888195852151E-2</v>
      </c>
    </row>
    <row r="84" spans="1:15" x14ac:dyDescent="0.25">
      <c r="A84" s="1">
        <v>10</v>
      </c>
      <c r="B84" s="145" t="s">
        <v>91</v>
      </c>
      <c r="C84" s="146">
        <v>0</v>
      </c>
      <c r="D84" s="147">
        <v>-1</v>
      </c>
      <c r="E84" s="146">
        <v>23122</v>
      </c>
      <c r="F84" s="147" t="str">
        <f t="shared" si="8"/>
        <v>-</v>
      </c>
      <c r="G84" s="146">
        <v>26374</v>
      </c>
      <c r="H84" s="147">
        <f t="shared" si="8"/>
        <v>0.14064527290026807</v>
      </c>
      <c r="I84" s="146">
        <v>26698</v>
      </c>
      <c r="J84" s="147">
        <f t="shared" si="8"/>
        <v>1.2284825964965496E-2</v>
      </c>
      <c r="K84" s="146">
        <v>26435</v>
      </c>
      <c r="L84" s="147">
        <f t="shared" si="9"/>
        <v>-9.8509251629335104E-3</v>
      </c>
      <c r="M84" s="146"/>
      <c r="N84" s="147"/>
    </row>
    <row r="85" spans="1:15" x14ac:dyDescent="0.25">
      <c r="A85" s="1">
        <v>11</v>
      </c>
      <c r="B85" s="145" t="s">
        <v>93</v>
      </c>
      <c r="C85" s="146">
        <v>0</v>
      </c>
      <c r="D85" s="147">
        <v>-1</v>
      </c>
      <c r="E85" s="146">
        <v>27647</v>
      </c>
      <c r="F85" s="147" t="str">
        <f t="shared" si="8"/>
        <v>-</v>
      </c>
      <c r="G85" s="146">
        <v>25067</v>
      </c>
      <c r="H85" s="147">
        <f t="shared" si="8"/>
        <v>-9.3319347487973325E-2</v>
      </c>
      <c r="I85" s="146">
        <v>24723</v>
      </c>
      <c r="J85" s="147">
        <f t="shared" si="8"/>
        <v>-1.3723221765667981E-2</v>
      </c>
      <c r="K85" s="146">
        <v>26361</v>
      </c>
      <c r="L85" s="147">
        <f t="shared" si="9"/>
        <v>6.6254095376774735E-2</v>
      </c>
      <c r="M85" s="146"/>
      <c r="N85" s="147"/>
    </row>
    <row r="86" spans="1:15" x14ac:dyDescent="0.25">
      <c r="A86" s="1">
        <v>12</v>
      </c>
      <c r="B86" s="145" t="s">
        <v>95</v>
      </c>
      <c r="C86" s="146">
        <v>0</v>
      </c>
      <c r="D86" s="147">
        <v>-1</v>
      </c>
      <c r="E86" s="146">
        <v>21541</v>
      </c>
      <c r="F86" s="147" t="str">
        <f t="shared" si="8"/>
        <v>-</v>
      </c>
      <c r="G86" s="146">
        <v>26095</v>
      </c>
      <c r="H86" s="147">
        <f t="shared" si="8"/>
        <v>0.21141079801309126</v>
      </c>
      <c r="I86" s="146">
        <v>24969</v>
      </c>
      <c r="J86" s="147">
        <f t="shared" si="8"/>
        <v>-4.3150028741138158E-2</v>
      </c>
      <c r="K86" s="146">
        <v>25021</v>
      </c>
      <c r="L86" s="147">
        <f t="shared" si="9"/>
        <v>2.0825824021786232E-3</v>
      </c>
      <c r="M86" s="146"/>
      <c r="N86" s="147"/>
    </row>
    <row r="87" spans="1:15" ht="15.75" x14ac:dyDescent="0.25">
      <c r="B87" s="148" t="s">
        <v>32</v>
      </c>
      <c r="C87" s="149">
        <v>0</v>
      </c>
      <c r="D87" s="150">
        <v>-1</v>
      </c>
      <c r="E87" s="149">
        <v>141098</v>
      </c>
      <c r="F87" s="150" t="str">
        <f t="shared" si="8"/>
        <v>-</v>
      </c>
      <c r="G87" s="149">
        <v>310489</v>
      </c>
      <c r="H87" s="150">
        <f t="shared" si="8"/>
        <v>1.2005202058143984</v>
      </c>
      <c r="I87" s="149">
        <v>296342</v>
      </c>
      <c r="J87" s="150">
        <f t="shared" si="8"/>
        <v>-4.5563610949180156E-2</v>
      </c>
      <c r="K87" s="149">
        <v>338089</v>
      </c>
      <c r="L87" s="150">
        <f t="shared" si="9"/>
        <v>0.14087439512455213</v>
      </c>
      <c r="M87" s="149">
        <v>242305</v>
      </c>
      <c r="N87" s="150">
        <v>-6.9031628450236693E-2</v>
      </c>
    </row>
    <row r="88" spans="1:15" ht="6" customHeight="1" x14ac:dyDescent="0.25"/>
    <row r="89" spans="1:15" x14ac:dyDescent="0.25">
      <c r="B89" s="131" t="s">
        <v>57</v>
      </c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</row>
    <row r="92" spans="1:15" ht="48.75" customHeight="1" thickBot="1" x14ac:dyDescent="0.3">
      <c r="B92" s="12" t="s">
        <v>291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" t="s">
        <v>116</v>
      </c>
    </row>
    <row r="93" spans="1:15" ht="10.5" customHeight="1" thickBot="1" x14ac:dyDescent="0.3">
      <c r="B93" s="132"/>
      <c r="C93" s="133"/>
      <c r="D93" s="132"/>
      <c r="E93" s="132"/>
      <c r="F93" s="132"/>
      <c r="G93" s="132"/>
      <c r="H93" s="132"/>
      <c r="I93" s="132"/>
      <c r="J93" s="132"/>
      <c r="K93" s="132"/>
      <c r="L93" s="132"/>
      <c r="M93" s="4"/>
      <c r="N93" s="4"/>
      <c r="O93" s="1" t="s">
        <v>117</v>
      </c>
    </row>
    <row r="94" spans="1:15" ht="22.5" thickTop="1" thickBot="1" x14ac:dyDescent="0.3">
      <c r="B94" s="152" t="s">
        <v>98</v>
      </c>
      <c r="C94" s="135" t="s">
        <v>34</v>
      </c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</row>
    <row r="95" spans="1:15" ht="22.5" thickTop="1" thickBot="1" x14ac:dyDescent="0.3">
      <c r="B95" s="137"/>
      <c r="C95" s="138">
        <f>C$7</f>
        <v>2020</v>
      </c>
      <c r="D95" s="139"/>
      <c r="E95" s="138">
        <f>E$7</f>
        <v>2021</v>
      </c>
      <c r="F95" s="139"/>
      <c r="G95" s="138">
        <f>G$7</f>
        <v>2022</v>
      </c>
      <c r="H95" s="139"/>
      <c r="I95" s="138">
        <f>I$7</f>
        <v>2023</v>
      </c>
      <c r="J95" s="139"/>
      <c r="K95" s="138">
        <f>K$7</f>
        <v>2024</v>
      </c>
      <c r="L95" s="139"/>
      <c r="M95" s="140">
        <f>M$7</f>
        <v>2025</v>
      </c>
      <c r="N95" s="141"/>
    </row>
    <row r="96" spans="1:15" ht="16.5" thickTop="1" thickBot="1" x14ac:dyDescent="0.3">
      <c r="B96" s="109"/>
      <c r="C96" s="142" t="s">
        <v>71</v>
      </c>
      <c r="D96" s="143" t="str">
        <f>CONCATENATE("var ",RIGHT(C95,2),"/",RIGHT(C95-1,2))</f>
        <v>var 20/19</v>
      </c>
      <c r="E96" s="144" t="s">
        <v>71</v>
      </c>
      <c r="F96" s="143" t="str">
        <f>CONCATENATE("var ",RIGHT(E95,2),"/",RIGHT(C95,2))</f>
        <v>var 21/20</v>
      </c>
      <c r="G96" s="144" t="s">
        <v>71</v>
      </c>
      <c r="H96" s="143" t="str">
        <f>CONCATENATE("var ",RIGHT(G95,2),"/",RIGHT(E95,2))</f>
        <v>var 22/21</v>
      </c>
      <c r="I96" s="144" t="s">
        <v>71</v>
      </c>
      <c r="J96" s="143" t="str">
        <f>CONCATENATE("var ",RIGHT(I95,2),"/",RIGHT(G95,2))</f>
        <v>var 23/22</v>
      </c>
      <c r="K96" s="144" t="s">
        <v>71</v>
      </c>
      <c r="L96" s="143" t="str">
        <f>CONCATENATE("var ",RIGHT(K95,2),"/",RIGHT(I95,2))</f>
        <v>var 24/23</v>
      </c>
      <c r="M96" s="144" t="s">
        <v>71</v>
      </c>
      <c r="N96" s="143" t="str">
        <f>CONCATENATE("var ",RIGHT(M95,2),"/",RIGHT(K95,2))</f>
        <v>var 25/24</v>
      </c>
    </row>
    <row r="97" spans="2:14" x14ac:dyDescent="0.25">
      <c r="B97" s="145" t="s">
        <v>73</v>
      </c>
      <c r="C97" s="146">
        <v>43194</v>
      </c>
      <c r="D97" s="147">
        <v>5.6242969628796491E-2</v>
      </c>
      <c r="E97" s="146">
        <v>2775</v>
      </c>
      <c r="F97" s="147">
        <f t="shared" ref="F97:J109" si="11">IFERROR(E97/C97-1,"-")</f>
        <v>-0.93575496596749552</v>
      </c>
      <c r="G97" s="146">
        <v>24239</v>
      </c>
      <c r="H97" s="147">
        <f t="shared" si="11"/>
        <v>7.7347747747747739</v>
      </c>
      <c r="I97" s="146">
        <v>29362</v>
      </c>
      <c r="J97" s="147">
        <f t="shared" si="11"/>
        <v>0.21135360369652223</v>
      </c>
      <c r="K97" s="146">
        <v>31119</v>
      </c>
      <c r="L97" s="147">
        <f t="shared" ref="L97:L109" si="12">IFERROR(K97/I97-1,"-")</f>
        <v>5.9839248007628854E-2</v>
      </c>
      <c r="M97" s="146">
        <v>31603</v>
      </c>
      <c r="N97" s="147">
        <f t="shared" ref="N97:N105" si="13">IFERROR(M97/K97-1,"-")</f>
        <v>1.5553199010250873E-2</v>
      </c>
    </row>
    <row r="98" spans="2:14" x14ac:dyDescent="0.25">
      <c r="B98" s="145" t="s">
        <v>75</v>
      </c>
      <c r="C98" s="146">
        <v>39241</v>
      </c>
      <c r="D98" s="147">
        <v>-8.1630742587001759E-2</v>
      </c>
      <c r="E98" s="146">
        <v>3359</v>
      </c>
      <c r="F98" s="147">
        <f t="shared" si="11"/>
        <v>-0.91440075431309087</v>
      </c>
      <c r="G98" s="146">
        <v>26617</v>
      </c>
      <c r="H98" s="147">
        <f t="shared" si="11"/>
        <v>6.9240845489729086</v>
      </c>
      <c r="I98" s="146">
        <v>28295</v>
      </c>
      <c r="J98" s="147">
        <f t="shared" si="11"/>
        <v>6.3042416500732612E-2</v>
      </c>
      <c r="K98" s="146">
        <v>24823</v>
      </c>
      <c r="L98" s="147">
        <f t="shared" si="12"/>
        <v>-0.12270719208340697</v>
      </c>
      <c r="M98" s="146">
        <v>30937</v>
      </c>
      <c r="N98" s="147">
        <f t="shared" si="13"/>
        <v>0.24630383112436038</v>
      </c>
    </row>
    <row r="99" spans="2:14" x14ac:dyDescent="0.25">
      <c r="B99" s="145" t="s">
        <v>77</v>
      </c>
      <c r="C99" s="146">
        <v>23119</v>
      </c>
      <c r="D99" s="147">
        <v>-0.45906549053557644</v>
      </c>
      <c r="E99" s="146">
        <v>4717</v>
      </c>
      <c r="F99" s="147">
        <f t="shared" si="11"/>
        <v>-0.79596868376659891</v>
      </c>
      <c r="G99" s="146">
        <v>27574</v>
      </c>
      <c r="H99" s="147">
        <f t="shared" si="11"/>
        <v>4.845664617341531</v>
      </c>
      <c r="I99" s="146">
        <v>29030</v>
      </c>
      <c r="J99" s="147">
        <f t="shared" si="11"/>
        <v>5.2803365489229037E-2</v>
      </c>
      <c r="K99" s="146">
        <v>31003</v>
      </c>
      <c r="L99" s="147">
        <f t="shared" si="12"/>
        <v>6.7964174991388182E-2</v>
      </c>
      <c r="M99" s="146">
        <v>32272</v>
      </c>
      <c r="N99" s="147">
        <f t="shared" si="13"/>
        <v>4.0931522755862426E-2</v>
      </c>
    </row>
    <row r="100" spans="2:14" x14ac:dyDescent="0.25">
      <c r="B100" s="145" t="s">
        <v>79</v>
      </c>
      <c r="C100" s="146">
        <v>0</v>
      </c>
      <c r="D100" s="147">
        <v>-1</v>
      </c>
      <c r="E100" s="146">
        <v>5851</v>
      </c>
      <c r="F100" s="147" t="str">
        <f t="shared" si="11"/>
        <v>-</v>
      </c>
      <c r="G100" s="146">
        <v>22852</v>
      </c>
      <c r="H100" s="147">
        <f t="shared" si="11"/>
        <v>2.9056571526234833</v>
      </c>
      <c r="I100" s="146">
        <v>24480</v>
      </c>
      <c r="J100" s="147">
        <f t="shared" si="11"/>
        <v>7.1241029231577047E-2</v>
      </c>
      <c r="K100" s="146">
        <v>23629</v>
      </c>
      <c r="L100" s="147">
        <f t="shared" si="12"/>
        <v>-3.4763071895424824E-2</v>
      </c>
      <c r="M100" s="146">
        <v>28820</v>
      </c>
      <c r="N100" s="147">
        <f t="shared" si="13"/>
        <v>0.21968767192856231</v>
      </c>
    </row>
    <row r="101" spans="2:14" x14ac:dyDescent="0.25">
      <c r="B101" s="145" t="s">
        <v>81</v>
      </c>
      <c r="C101" s="146">
        <v>0</v>
      </c>
      <c r="D101" s="147">
        <v>-1</v>
      </c>
      <c r="E101" s="146">
        <v>6089</v>
      </c>
      <c r="F101" s="147" t="str">
        <f t="shared" si="11"/>
        <v>-</v>
      </c>
      <c r="G101" s="146">
        <v>13692</v>
      </c>
      <c r="H101" s="147">
        <f t="shared" si="11"/>
        <v>1.248645097717195</v>
      </c>
      <c r="I101" s="146">
        <v>18346</v>
      </c>
      <c r="J101" s="147">
        <f t="shared" si="11"/>
        <v>0.3399065147531406</v>
      </c>
      <c r="K101" s="146">
        <v>21064</v>
      </c>
      <c r="L101" s="147">
        <f t="shared" si="12"/>
        <v>0.14815218576256406</v>
      </c>
      <c r="M101" s="146">
        <v>22376</v>
      </c>
      <c r="N101" s="147">
        <f t="shared" si="13"/>
        <v>6.2286365362704155E-2</v>
      </c>
    </row>
    <row r="102" spans="2:14" x14ac:dyDescent="0.25">
      <c r="B102" s="145" t="s">
        <v>83</v>
      </c>
      <c r="C102" s="146">
        <v>0</v>
      </c>
      <c r="D102" s="147">
        <v>-1</v>
      </c>
      <c r="E102" s="146">
        <v>6428</v>
      </c>
      <c r="F102" s="147" t="str">
        <f t="shared" si="11"/>
        <v>-</v>
      </c>
      <c r="G102" s="146">
        <v>15947</v>
      </c>
      <c r="H102" s="147">
        <f t="shared" si="11"/>
        <v>1.4808649657747357</v>
      </c>
      <c r="I102" s="146">
        <v>18927</v>
      </c>
      <c r="J102" s="147">
        <f t="shared" si="11"/>
        <v>0.18686900357434011</v>
      </c>
      <c r="K102" s="146">
        <v>19896</v>
      </c>
      <c r="L102" s="147">
        <f t="shared" si="12"/>
        <v>5.1196703122523335E-2</v>
      </c>
      <c r="M102" s="146">
        <v>24198</v>
      </c>
      <c r="N102" s="147">
        <f t="shared" si="13"/>
        <v>0.21622436670687573</v>
      </c>
    </row>
    <row r="103" spans="2:14" x14ac:dyDescent="0.25">
      <c r="B103" s="145" t="s">
        <v>85</v>
      </c>
      <c r="C103" s="146">
        <v>0</v>
      </c>
      <c r="D103" s="147">
        <v>-1</v>
      </c>
      <c r="E103" s="146">
        <v>11718</v>
      </c>
      <c r="F103" s="147" t="str">
        <f t="shared" si="11"/>
        <v>-</v>
      </c>
      <c r="G103" s="146">
        <v>22949</v>
      </c>
      <c r="H103" s="147">
        <f t="shared" si="11"/>
        <v>0.95844000682710351</v>
      </c>
      <c r="I103" s="146">
        <v>26512</v>
      </c>
      <c r="J103" s="147">
        <f t="shared" si="11"/>
        <v>0.15525730968669649</v>
      </c>
      <c r="K103" s="146">
        <v>26909</v>
      </c>
      <c r="L103" s="147">
        <f t="shared" si="12"/>
        <v>1.4974351237175609E-2</v>
      </c>
      <c r="M103" s="146">
        <v>34449</v>
      </c>
      <c r="N103" s="147">
        <f t="shared" si="13"/>
        <v>0.28020364933665309</v>
      </c>
    </row>
    <row r="104" spans="2:14" x14ac:dyDescent="0.25">
      <c r="B104" s="145" t="s">
        <v>87</v>
      </c>
      <c r="C104" s="146">
        <v>8447</v>
      </c>
      <c r="D104" s="147">
        <v>-0.82084455661837996</v>
      </c>
      <c r="E104" s="146">
        <v>15135</v>
      </c>
      <c r="F104" s="147">
        <f t="shared" si="11"/>
        <v>0.79176038830353979</v>
      </c>
      <c r="G104" s="146">
        <v>27464</v>
      </c>
      <c r="H104" s="147">
        <f t="shared" si="11"/>
        <v>0.81460191608853649</v>
      </c>
      <c r="I104" s="146">
        <v>31400</v>
      </c>
      <c r="J104" s="147">
        <f t="shared" si="11"/>
        <v>0.14331488494028544</v>
      </c>
      <c r="K104" s="146">
        <v>31177</v>
      </c>
      <c r="L104" s="147">
        <f t="shared" si="12"/>
        <v>-7.1019108280254706E-3</v>
      </c>
      <c r="M104" s="146">
        <v>39710</v>
      </c>
      <c r="N104" s="147">
        <f t="shared" si="13"/>
        <v>0.27369535234307341</v>
      </c>
    </row>
    <row r="105" spans="2:14" x14ac:dyDescent="0.25">
      <c r="B105" s="145" t="s">
        <v>89</v>
      </c>
      <c r="C105" s="146">
        <v>4719</v>
      </c>
      <c r="D105" s="147">
        <v>-0.87496356747303994</v>
      </c>
      <c r="E105" s="146">
        <v>11918</v>
      </c>
      <c r="F105" s="147">
        <f t="shared" si="11"/>
        <v>1.5255350709896165</v>
      </c>
      <c r="G105" s="146">
        <v>19192</v>
      </c>
      <c r="H105" s="147">
        <f t="shared" si="11"/>
        <v>0.61033730491693228</v>
      </c>
      <c r="I105" s="146">
        <v>23909</v>
      </c>
      <c r="J105" s="147">
        <f t="shared" si="11"/>
        <v>0.24577949145477285</v>
      </c>
      <c r="K105" s="146">
        <v>23395</v>
      </c>
      <c r="L105" s="147">
        <f t="shared" si="12"/>
        <v>-2.1498180601447148E-2</v>
      </c>
      <c r="M105" s="146">
        <v>27921</v>
      </c>
      <c r="N105" s="147">
        <f t="shared" si="13"/>
        <v>0.19346014105578124</v>
      </c>
    </row>
    <row r="106" spans="2:14" x14ac:dyDescent="0.25">
      <c r="B106" s="145" t="s">
        <v>91</v>
      </c>
      <c r="C106" s="146">
        <v>3478</v>
      </c>
      <c r="D106" s="147">
        <v>-0.90411336568151746</v>
      </c>
      <c r="E106" s="146">
        <v>20231</v>
      </c>
      <c r="F106" s="147">
        <f t="shared" si="11"/>
        <v>4.8168487636572745</v>
      </c>
      <c r="G106" s="146">
        <v>23206</v>
      </c>
      <c r="H106" s="147">
        <f t="shared" si="11"/>
        <v>0.14705155454500529</v>
      </c>
      <c r="I106" s="146">
        <v>27467</v>
      </c>
      <c r="J106" s="147">
        <f t="shared" si="11"/>
        <v>0.18361630612772561</v>
      </c>
      <c r="K106" s="146">
        <v>28050</v>
      </c>
      <c r="L106" s="147">
        <f t="shared" si="12"/>
        <v>2.1225470564677718E-2</v>
      </c>
      <c r="M106" s="146"/>
      <c r="N106" s="147"/>
    </row>
    <row r="107" spans="2:14" x14ac:dyDescent="0.25">
      <c r="B107" s="145" t="s">
        <v>93</v>
      </c>
      <c r="C107" s="146">
        <v>3773</v>
      </c>
      <c r="D107" s="147">
        <v>-0.90712158137015975</v>
      </c>
      <c r="E107" s="146">
        <v>23258</v>
      </c>
      <c r="F107" s="147">
        <f t="shared" si="11"/>
        <v>5.1643254704479196</v>
      </c>
      <c r="G107" s="146">
        <v>28403</v>
      </c>
      <c r="H107" s="147">
        <f t="shared" si="11"/>
        <v>0.22121420586464868</v>
      </c>
      <c r="I107" s="146">
        <v>28858</v>
      </c>
      <c r="J107" s="147">
        <f t="shared" si="11"/>
        <v>1.6019434566771018E-2</v>
      </c>
      <c r="K107" s="146">
        <v>30877</v>
      </c>
      <c r="L107" s="147">
        <f t="shared" si="12"/>
        <v>6.9963268417769786E-2</v>
      </c>
      <c r="M107" s="146"/>
      <c r="N107" s="147"/>
    </row>
    <row r="108" spans="2:14" x14ac:dyDescent="0.25">
      <c r="B108" s="145" t="s">
        <v>95</v>
      </c>
      <c r="C108" s="146">
        <v>4711</v>
      </c>
      <c r="D108" s="147">
        <v>-0.88245421428214976</v>
      </c>
      <c r="E108" s="146">
        <v>25094</v>
      </c>
      <c r="F108" s="147">
        <f t="shared" si="11"/>
        <v>4.3266822330715344</v>
      </c>
      <c r="G108" s="146">
        <v>28386</v>
      </c>
      <c r="H108" s="147">
        <f t="shared" si="11"/>
        <v>0.13118673786562529</v>
      </c>
      <c r="I108" s="146">
        <v>30289</v>
      </c>
      <c r="J108" s="147">
        <f t="shared" si="11"/>
        <v>6.7040090185302548E-2</v>
      </c>
      <c r="K108" s="146">
        <v>30458</v>
      </c>
      <c r="L108" s="147">
        <f t="shared" si="12"/>
        <v>5.5795833470897449E-3</v>
      </c>
      <c r="M108" s="146"/>
      <c r="N108" s="147"/>
    </row>
    <row r="109" spans="2:14" ht="15.75" x14ac:dyDescent="0.25">
      <c r="B109" s="148" t="s">
        <v>32</v>
      </c>
      <c r="C109" s="149">
        <v>137122</v>
      </c>
      <c r="D109" s="150">
        <v>-0.71347436518948193</v>
      </c>
      <c r="E109" s="149">
        <v>136573</v>
      </c>
      <c r="F109" s="150">
        <f t="shared" si="11"/>
        <v>-4.0037339011974593E-3</v>
      </c>
      <c r="G109" s="149">
        <v>280521</v>
      </c>
      <c r="H109" s="150">
        <f t="shared" si="11"/>
        <v>1.0540004246813059</v>
      </c>
      <c r="I109" s="149">
        <v>316875</v>
      </c>
      <c r="J109" s="150">
        <f t="shared" si="11"/>
        <v>0.12959457580715883</v>
      </c>
      <c r="K109" s="149">
        <v>322400</v>
      </c>
      <c r="L109" s="150">
        <f t="shared" si="12"/>
        <v>1.7435897435897463E-2</v>
      </c>
      <c r="M109" s="149">
        <v>272286</v>
      </c>
      <c r="N109" s="150">
        <v>0.16853421453554485</v>
      </c>
    </row>
    <row r="110" spans="2:14" ht="6" customHeight="1" x14ac:dyDescent="0.25"/>
    <row r="111" spans="2:14" x14ac:dyDescent="0.25">
      <c r="B111" s="131" t="s">
        <v>57</v>
      </c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</row>
    <row r="113" spans="3:3" x14ac:dyDescent="0.25">
      <c r="C113" s="151"/>
    </row>
  </sheetData>
  <mergeCells count="40">
    <mergeCell ref="B92:N92"/>
    <mergeCell ref="C94:N94"/>
    <mergeCell ref="C95:D95"/>
    <mergeCell ref="E95:F95"/>
    <mergeCell ref="G95:H95"/>
    <mergeCell ref="I95:J95"/>
    <mergeCell ref="K95:L95"/>
    <mergeCell ref="M95:N95"/>
    <mergeCell ref="B70:N70"/>
    <mergeCell ref="C72:N72"/>
    <mergeCell ref="C73:D73"/>
    <mergeCell ref="E73:F73"/>
    <mergeCell ref="G73:H73"/>
    <mergeCell ref="I73:J73"/>
    <mergeCell ref="K73:L73"/>
    <mergeCell ref="M73:N73"/>
    <mergeCell ref="B48:N48"/>
    <mergeCell ref="C50:N50"/>
    <mergeCell ref="C51:D51"/>
    <mergeCell ref="E51:F51"/>
    <mergeCell ref="G51:H51"/>
    <mergeCell ref="I51:J51"/>
    <mergeCell ref="K51:L51"/>
    <mergeCell ref="M51:N51"/>
    <mergeCell ref="B26:N26"/>
    <mergeCell ref="C28:N28"/>
    <mergeCell ref="C29:D29"/>
    <mergeCell ref="E29:F29"/>
    <mergeCell ref="G29:H29"/>
    <mergeCell ref="I29:J29"/>
    <mergeCell ref="K29:L29"/>
    <mergeCell ref="M29:N29"/>
    <mergeCell ref="B4:N4"/>
    <mergeCell ref="C6:N6"/>
    <mergeCell ref="C7:D7"/>
    <mergeCell ref="E7:F7"/>
    <mergeCell ref="G7:H7"/>
    <mergeCell ref="I7:J7"/>
    <mergeCell ref="K7:L7"/>
    <mergeCell ref="M7:N7"/>
  </mergeCells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A8926-2FD2-43F1-84DE-037D8385BBF9}">
  <sheetPr>
    <tabColor rgb="FFF29140"/>
    <pageSetUpPr fitToPage="1"/>
  </sheetPr>
  <dimension ref="A1:N162"/>
  <sheetViews>
    <sheetView showGridLines="0" workbookViewId="0">
      <selection activeCell="G10" sqref="G10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</cols>
  <sheetData>
    <row r="1" spans="1:12" ht="42.75" customHeight="1" x14ac:dyDescent="0.25"/>
    <row r="4" spans="1:12" ht="42" customHeight="1" thickBot="1" x14ac:dyDescent="0.3">
      <c r="B4" s="12" t="str">
        <f>CONCATENATE("Pernoctaciones en los establecimientos alojativos de Tenerife según lugar de residencia y municipio de alojamiento (hotel + apartamento)")</f>
        <v>Pernoctaciones en los establecimientos alojativos de Tenerife según lugar de residencia y municipio de alojamiento (hotel + apartamento)</v>
      </c>
      <c r="C4" s="12"/>
      <c r="D4" s="12"/>
      <c r="E4" s="12"/>
      <c r="F4" s="12"/>
      <c r="G4" s="12"/>
      <c r="H4" s="12"/>
      <c r="I4" s="12"/>
      <c r="J4" s="12"/>
      <c r="K4" s="12"/>
    </row>
    <row r="5" spans="1:12" ht="6" customHeight="1" x14ac:dyDescent="0.25"/>
    <row r="6" spans="1:12" s="177" customFormat="1" ht="72" customHeight="1" x14ac:dyDescent="0.25">
      <c r="B6" s="178"/>
      <c r="C6" s="205" t="s">
        <v>263</v>
      </c>
      <c r="D6" s="205" t="s">
        <v>228</v>
      </c>
      <c r="E6" s="205" t="s">
        <v>229</v>
      </c>
      <c r="F6" s="205" t="s">
        <v>230</v>
      </c>
      <c r="G6" s="205" t="s">
        <v>231</v>
      </c>
      <c r="H6" s="205" t="s">
        <v>232</v>
      </c>
      <c r="I6" s="206" t="str">
        <f>CONCATENATE("var. ",RIGHT(H6,2),"/",RIGHT(G6,2))</f>
        <v>var. 25/24</v>
      </c>
      <c r="J6" s="205" t="str">
        <f>CONCATENATE("dif. ",RIGHT(H6,2),"/",RIGHT(G6,2))</f>
        <v>dif. 25/24</v>
      </c>
      <c r="K6" s="206" t="str">
        <f>CONCATENATE("Cuota s/ total lugares de residencia ",RIGHT(H6,4))</f>
        <v>Cuota s/ total lugares de residencia 2025</v>
      </c>
    </row>
    <row r="7" spans="1:12" s="177" customFormat="1" x14ac:dyDescent="0.25">
      <c r="B7" s="183" t="s">
        <v>45</v>
      </c>
      <c r="C7" s="184"/>
      <c r="D7" s="184"/>
      <c r="E7" s="184"/>
      <c r="F7" s="184"/>
      <c r="G7" s="184"/>
      <c r="H7" s="184"/>
      <c r="I7" s="184"/>
      <c r="J7" s="184"/>
      <c r="K7" s="184"/>
    </row>
    <row r="8" spans="1:12" x14ac:dyDescent="0.25">
      <c r="A8" s="1"/>
      <c r="B8" s="187" t="s">
        <v>70</v>
      </c>
      <c r="C8" s="209">
        <v>489585</v>
      </c>
      <c r="D8" s="209">
        <v>1786950</v>
      </c>
      <c r="E8" s="209">
        <v>2570788</v>
      </c>
      <c r="F8" s="209">
        <v>2803075</v>
      </c>
      <c r="G8" s="209">
        <v>2881997</v>
      </c>
      <c r="H8" s="209">
        <v>2785219</v>
      </c>
      <c r="I8" s="210">
        <f>IFERROR(H8/G8-1,"-")</f>
        <v>-3.358018762684345E-2</v>
      </c>
      <c r="J8" s="209">
        <f>H8-G8</f>
        <v>-96778</v>
      </c>
      <c r="K8" s="210">
        <f>H8/H$8</f>
        <v>1</v>
      </c>
      <c r="L8" s="103"/>
    </row>
    <row r="9" spans="1:12" x14ac:dyDescent="0.25">
      <c r="A9" s="1" t="s">
        <v>98</v>
      </c>
      <c r="B9" s="190" t="s">
        <v>99</v>
      </c>
      <c r="C9" s="191">
        <v>238618</v>
      </c>
      <c r="D9" s="191">
        <v>393658</v>
      </c>
      <c r="E9" s="191">
        <v>389213</v>
      </c>
      <c r="F9" s="191">
        <v>411909</v>
      </c>
      <c r="G9" s="191">
        <v>404354</v>
      </c>
      <c r="H9" s="191">
        <v>407526</v>
      </c>
      <c r="I9" s="192">
        <f>IFERROR(H9/G9-1,"-")</f>
        <v>7.8446114048580373E-3</v>
      </c>
      <c r="J9" s="191">
        <f t="shared" ref="J9:J19" si="0">H9-G9</f>
        <v>3172</v>
      </c>
      <c r="K9" s="192">
        <f>H9/H$8</f>
        <v>0.1463173990985987</v>
      </c>
      <c r="L9" s="103"/>
    </row>
    <row r="10" spans="1:12" x14ac:dyDescent="0.25">
      <c r="A10" s="193" t="s">
        <v>105</v>
      </c>
      <c r="B10" s="194" t="s">
        <v>105</v>
      </c>
      <c r="C10" s="195">
        <v>81346</v>
      </c>
      <c r="D10" s="195">
        <v>123314</v>
      </c>
      <c r="E10" s="195">
        <v>101561</v>
      </c>
      <c r="F10" s="195">
        <v>141240</v>
      </c>
      <c r="G10" s="195">
        <v>124528</v>
      </c>
      <c r="H10" s="195">
        <v>123441</v>
      </c>
      <c r="I10" s="196">
        <f>IFERROR(H10/G10-1,"-")</f>
        <v>-8.728960555055898E-3</v>
      </c>
      <c r="J10" s="195">
        <f t="shared" si="0"/>
        <v>-1087</v>
      </c>
      <c r="K10" s="196">
        <f>H10/H$8</f>
        <v>4.4320033720867194E-2</v>
      </c>
      <c r="L10" s="103"/>
    </row>
    <row r="11" spans="1:12" x14ac:dyDescent="0.25">
      <c r="A11" s="193" t="s">
        <v>102</v>
      </c>
      <c r="B11" s="194" t="s">
        <v>102</v>
      </c>
      <c r="C11" s="195">
        <v>157272</v>
      </c>
      <c r="D11" s="195">
        <v>270344</v>
      </c>
      <c r="E11" s="195">
        <v>287652</v>
      </c>
      <c r="F11" s="195">
        <v>270669</v>
      </c>
      <c r="G11" s="195">
        <v>279826</v>
      </c>
      <c r="H11" s="195">
        <v>284085</v>
      </c>
      <c r="I11" s="196">
        <f>IFERROR(H11/G11-1,"-")</f>
        <v>1.5220172535790111E-2</v>
      </c>
      <c r="J11" s="195">
        <f t="shared" si="0"/>
        <v>4259</v>
      </c>
      <c r="K11" s="196">
        <f>H11/H$8</f>
        <v>0.10199736537773152</v>
      </c>
      <c r="L11" s="103"/>
    </row>
    <row r="12" spans="1:12" x14ac:dyDescent="0.25">
      <c r="A12" s="1"/>
      <c r="B12" s="190" t="s">
        <v>109</v>
      </c>
      <c r="C12" s="191">
        <v>250967</v>
      </c>
      <c r="D12" s="191">
        <v>1393292</v>
      </c>
      <c r="E12" s="191">
        <v>2181575</v>
      </c>
      <c r="F12" s="191">
        <v>2391166</v>
      </c>
      <c r="G12" s="191">
        <v>2477643</v>
      </c>
      <c r="H12" s="191">
        <v>2377693</v>
      </c>
      <c r="I12" s="192">
        <f>IFERROR(H12/G12-1,"-")</f>
        <v>-4.0340759342649468E-2</v>
      </c>
      <c r="J12" s="191">
        <f t="shared" si="0"/>
        <v>-99950</v>
      </c>
      <c r="K12" s="192">
        <f>H12/H$8</f>
        <v>0.85368260090140125</v>
      </c>
      <c r="L12" s="103"/>
    </row>
    <row r="13" spans="1:12" s="74" customFormat="1" x14ac:dyDescent="0.25">
      <c r="A13" s="193"/>
      <c r="B13" s="194" t="s">
        <v>112</v>
      </c>
      <c r="C13" s="195">
        <v>73616</v>
      </c>
      <c r="D13" s="195">
        <v>513305</v>
      </c>
      <c r="E13" s="195">
        <v>1155744</v>
      </c>
      <c r="F13" s="195">
        <v>1286861</v>
      </c>
      <c r="G13" s="195">
        <v>1312336</v>
      </c>
      <c r="H13" s="195">
        <v>1259845</v>
      </c>
      <c r="I13" s="196">
        <f t="shared" ref="I13:I20" si="1">IFERROR(H13/G13-1,"-")</f>
        <v>-3.9998140720059472E-2</v>
      </c>
      <c r="J13" s="195">
        <f t="shared" si="0"/>
        <v>-52491</v>
      </c>
      <c r="K13" s="196">
        <f t="shared" ref="K13:K20" si="2">H13/H$8</f>
        <v>0.45233247367621721</v>
      </c>
      <c r="L13" s="197"/>
    </row>
    <row r="14" spans="1:12" s="74" customFormat="1" x14ac:dyDescent="0.25">
      <c r="A14" s="193"/>
      <c r="B14" s="194" t="s">
        <v>115</v>
      </c>
      <c r="C14" s="195">
        <v>21237</v>
      </c>
      <c r="D14" s="195">
        <v>245802</v>
      </c>
      <c r="E14" s="195">
        <v>240568</v>
      </c>
      <c r="F14" s="195">
        <v>263827</v>
      </c>
      <c r="G14" s="195">
        <v>262153</v>
      </c>
      <c r="H14" s="195">
        <v>250284</v>
      </c>
      <c r="I14" s="196">
        <f t="shared" si="1"/>
        <v>-4.5275087448932494E-2</v>
      </c>
      <c r="J14" s="195">
        <f t="shared" si="0"/>
        <v>-11869</v>
      </c>
      <c r="K14" s="196">
        <f t="shared" si="2"/>
        <v>8.9861515378144408E-2</v>
      </c>
      <c r="L14" s="197"/>
    </row>
    <row r="15" spans="1:12" x14ac:dyDescent="0.25">
      <c r="A15" s="193"/>
      <c r="B15" s="194" t="s">
        <v>118</v>
      </c>
      <c r="C15" s="195">
        <v>15164</v>
      </c>
      <c r="D15" s="195">
        <v>70250</v>
      </c>
      <c r="E15" s="195">
        <v>96299</v>
      </c>
      <c r="F15" s="195">
        <v>113190</v>
      </c>
      <c r="G15" s="195">
        <v>108150</v>
      </c>
      <c r="H15" s="195">
        <v>114971</v>
      </c>
      <c r="I15" s="196">
        <f t="shared" si="1"/>
        <v>6.306981044845128E-2</v>
      </c>
      <c r="J15" s="195">
        <f t="shared" si="0"/>
        <v>6821</v>
      </c>
      <c r="K15" s="196">
        <f t="shared" si="2"/>
        <v>4.1278980216636466E-2</v>
      </c>
      <c r="L15" s="103"/>
    </row>
    <row r="16" spans="1:12" x14ac:dyDescent="0.25">
      <c r="A16" s="193"/>
      <c r="B16" s="194" t="s">
        <v>125</v>
      </c>
      <c r="C16" s="195">
        <v>2488</v>
      </c>
      <c r="D16" s="195">
        <v>110449</v>
      </c>
      <c r="E16" s="195">
        <v>115899</v>
      </c>
      <c r="F16" s="195">
        <v>115626</v>
      </c>
      <c r="G16" s="195">
        <v>113758</v>
      </c>
      <c r="H16" s="195">
        <v>114410</v>
      </c>
      <c r="I16" s="196">
        <f t="shared" si="1"/>
        <v>5.7314650398214706E-3</v>
      </c>
      <c r="J16" s="195">
        <f t="shared" si="0"/>
        <v>652</v>
      </c>
      <c r="K16" s="196">
        <f t="shared" si="2"/>
        <v>4.1077559789732869E-2</v>
      </c>
      <c r="L16" s="103"/>
    </row>
    <row r="17" spans="1:12" x14ac:dyDescent="0.25">
      <c r="A17" s="193"/>
      <c r="B17" s="194" t="s">
        <v>121</v>
      </c>
      <c r="C17" s="195">
        <v>61832</v>
      </c>
      <c r="D17" s="195">
        <v>99484</v>
      </c>
      <c r="E17" s="195">
        <v>86458</v>
      </c>
      <c r="F17" s="195">
        <v>88893</v>
      </c>
      <c r="G17" s="195">
        <v>86336</v>
      </c>
      <c r="H17" s="195">
        <v>86743</v>
      </c>
      <c r="I17" s="196">
        <f t="shared" si="1"/>
        <v>4.714140103780684E-3</v>
      </c>
      <c r="J17" s="195">
        <f t="shared" si="0"/>
        <v>407</v>
      </c>
      <c r="K17" s="196">
        <f t="shared" si="2"/>
        <v>3.1144050072902704E-2</v>
      </c>
      <c r="L17" s="103"/>
    </row>
    <row r="18" spans="1:12" x14ac:dyDescent="0.25">
      <c r="A18" s="193"/>
      <c r="B18" s="194" t="s">
        <v>130</v>
      </c>
      <c r="C18" s="195">
        <v>209</v>
      </c>
      <c r="D18" s="195">
        <v>6588</v>
      </c>
      <c r="E18" s="195">
        <v>10414</v>
      </c>
      <c r="F18" s="195">
        <v>9657</v>
      </c>
      <c r="G18" s="195">
        <v>12379</v>
      </c>
      <c r="H18" s="195">
        <v>10251</v>
      </c>
      <c r="I18" s="196">
        <f t="shared" si="1"/>
        <v>-0.17190403102027629</v>
      </c>
      <c r="J18" s="195">
        <f t="shared" si="0"/>
        <v>-2128</v>
      </c>
      <c r="K18" s="196">
        <f t="shared" si="2"/>
        <v>3.6805005279656644E-3</v>
      </c>
      <c r="L18" s="103"/>
    </row>
    <row r="19" spans="1:12" x14ac:dyDescent="0.25">
      <c r="A19" s="193" t="s">
        <v>146</v>
      </c>
      <c r="B19" s="194" t="s">
        <v>133</v>
      </c>
      <c r="C19" s="195">
        <v>556</v>
      </c>
      <c r="D19" s="195">
        <v>2204</v>
      </c>
      <c r="E19" s="195">
        <v>4668</v>
      </c>
      <c r="F19" s="195">
        <v>6780</v>
      </c>
      <c r="G19" s="195">
        <v>4347</v>
      </c>
      <c r="H19" s="195">
        <v>2535</v>
      </c>
      <c r="I19" s="196">
        <f t="shared" si="1"/>
        <v>-0.41683919944789505</v>
      </c>
      <c r="J19" s="195">
        <f t="shared" si="0"/>
        <v>-1812</v>
      </c>
      <c r="K19" s="196">
        <f t="shared" si="2"/>
        <v>9.1016182210447362E-4</v>
      </c>
      <c r="L19" s="103"/>
    </row>
    <row r="20" spans="1:12" x14ac:dyDescent="0.25">
      <c r="A20" s="193" t="s">
        <v>147</v>
      </c>
      <c r="B20" s="199" t="s">
        <v>147</v>
      </c>
      <c r="C20" s="200">
        <f t="shared" ref="C20" si="3">C12-SUM(C13:C19)</f>
        <v>75865</v>
      </c>
      <c r="D20" s="200">
        <f t="shared" ref="D20:H20" si="4">D12-SUM(D13:D19)</f>
        <v>345210</v>
      </c>
      <c r="E20" s="200">
        <f t="shared" si="4"/>
        <v>471525</v>
      </c>
      <c r="F20" s="200">
        <f t="shared" si="4"/>
        <v>506332</v>
      </c>
      <c r="G20" s="200">
        <f t="shared" si="4"/>
        <v>578184</v>
      </c>
      <c r="H20" s="200">
        <f t="shared" si="4"/>
        <v>538654</v>
      </c>
      <c r="I20" s="201">
        <f t="shared" si="1"/>
        <v>-6.8369238858218107E-2</v>
      </c>
      <c r="J20" s="200">
        <f>H20-G20</f>
        <v>-39530</v>
      </c>
      <c r="K20" s="201">
        <f t="shared" si="2"/>
        <v>0.19339735941769751</v>
      </c>
      <c r="L20" s="103"/>
    </row>
    <row r="21" spans="1:12" s="177" customFormat="1" x14ac:dyDescent="0.25">
      <c r="A21" s="193"/>
      <c r="B21" s="186" t="s">
        <v>46</v>
      </c>
      <c r="C21" s="184"/>
      <c r="D21" s="184"/>
      <c r="E21" s="184"/>
      <c r="F21" s="184"/>
      <c r="G21" s="184"/>
      <c r="H21" s="184"/>
      <c r="I21" s="184"/>
      <c r="J21" s="184"/>
      <c r="K21" s="184"/>
    </row>
    <row r="22" spans="1:12" x14ac:dyDescent="0.25">
      <c r="A22" s="193"/>
      <c r="B22" s="187" t="s">
        <v>70</v>
      </c>
      <c r="C22" s="209">
        <v>176625</v>
      </c>
      <c r="D22" s="209">
        <v>762012</v>
      </c>
      <c r="E22" s="209">
        <v>1013730</v>
      </c>
      <c r="F22" s="209">
        <v>1102818</v>
      </c>
      <c r="G22" s="209">
        <v>1101231</v>
      </c>
      <c r="H22" s="209">
        <v>1027929</v>
      </c>
      <c r="I22" s="210">
        <f>IFERROR(H22/G22-1,"-")</f>
        <v>-6.6563690996711888E-2</v>
      </c>
      <c r="J22" s="209">
        <f>H22-G22</f>
        <v>-73302</v>
      </c>
      <c r="K22" s="210">
        <f>H22/H$8</f>
        <v>0.36906577184774342</v>
      </c>
      <c r="L22" s="103"/>
    </row>
    <row r="23" spans="1:12" x14ac:dyDescent="0.25">
      <c r="A23" s="193" t="s">
        <v>98</v>
      </c>
      <c r="B23" s="190" t="s">
        <v>99</v>
      </c>
      <c r="C23" s="191">
        <v>76690</v>
      </c>
      <c r="D23" s="191">
        <v>114059</v>
      </c>
      <c r="E23" s="191">
        <v>90471</v>
      </c>
      <c r="F23" s="191">
        <v>81203</v>
      </c>
      <c r="G23" s="191">
        <v>74099</v>
      </c>
      <c r="H23" s="191">
        <v>65025</v>
      </c>
      <c r="I23" s="192">
        <f>IFERROR(H23/G23-1,"-")</f>
        <v>-0.12245779295267145</v>
      </c>
      <c r="J23" s="191">
        <f t="shared" ref="J23:J33" si="5">H23-G23</f>
        <v>-9074</v>
      </c>
      <c r="K23" s="192">
        <f>H23/H$8</f>
        <v>2.3346458572916527E-2</v>
      </c>
      <c r="L23" s="103"/>
    </row>
    <row r="24" spans="1:12" x14ac:dyDescent="0.25">
      <c r="A24" s="193" t="s">
        <v>105</v>
      </c>
      <c r="B24" s="194" t="s">
        <v>105</v>
      </c>
      <c r="C24" s="195">
        <v>40310</v>
      </c>
      <c r="D24" s="195">
        <v>35393</v>
      </c>
      <c r="E24" s="195">
        <v>27057</v>
      </c>
      <c r="F24" s="195">
        <v>24059</v>
      </c>
      <c r="G24" s="195">
        <v>19606</v>
      </c>
      <c r="H24" s="195">
        <v>24933</v>
      </c>
      <c r="I24" s="196">
        <f>IFERROR(H24/G24-1,"-")</f>
        <v>0.2717025400387636</v>
      </c>
      <c r="J24" s="195">
        <f t="shared" si="5"/>
        <v>5327</v>
      </c>
      <c r="K24" s="196">
        <f>H24/H$8</f>
        <v>8.9518992940950063E-3</v>
      </c>
      <c r="L24" s="103"/>
    </row>
    <row r="25" spans="1:12" x14ac:dyDescent="0.25">
      <c r="A25" s="193" t="s">
        <v>102</v>
      </c>
      <c r="B25" s="194" t="s">
        <v>102</v>
      </c>
      <c r="C25" s="195">
        <v>36380</v>
      </c>
      <c r="D25" s="195">
        <v>78666</v>
      </c>
      <c r="E25" s="195">
        <v>63414</v>
      </c>
      <c r="F25" s="195">
        <v>57144</v>
      </c>
      <c r="G25" s="195">
        <v>54493</v>
      </c>
      <c r="H25" s="195">
        <v>40092</v>
      </c>
      <c r="I25" s="196">
        <f>IFERROR(H25/G25-1,"-")</f>
        <v>-0.26427247536380816</v>
      </c>
      <c r="J25" s="195">
        <f t="shared" si="5"/>
        <v>-14401</v>
      </c>
      <c r="K25" s="196">
        <f>H25/H$8</f>
        <v>1.4394559278821521E-2</v>
      </c>
      <c r="L25" s="103"/>
    </row>
    <row r="26" spans="1:12" x14ac:dyDescent="0.25">
      <c r="A26" s="193"/>
      <c r="B26" s="190" t="s">
        <v>109</v>
      </c>
      <c r="C26" s="191">
        <v>99935</v>
      </c>
      <c r="D26" s="191">
        <v>647953</v>
      </c>
      <c r="E26" s="191">
        <v>923259</v>
      </c>
      <c r="F26" s="191">
        <v>1021615</v>
      </c>
      <c r="G26" s="191">
        <v>1027132</v>
      </c>
      <c r="H26" s="191">
        <v>962904</v>
      </c>
      <c r="I26" s="192">
        <f>IFERROR(H26/G26-1,"-")</f>
        <v>-6.2531398106572489E-2</v>
      </c>
      <c r="J26" s="191">
        <f t="shared" si="5"/>
        <v>-64228</v>
      </c>
      <c r="K26" s="192">
        <f>H26/H$8</f>
        <v>0.34571931327482686</v>
      </c>
      <c r="L26" s="103"/>
    </row>
    <row r="27" spans="1:12" s="74" customFormat="1" x14ac:dyDescent="0.25">
      <c r="A27" s="193"/>
      <c r="B27" s="194" t="s">
        <v>112</v>
      </c>
      <c r="C27" s="195">
        <v>30969</v>
      </c>
      <c r="D27" s="195">
        <v>245519</v>
      </c>
      <c r="E27" s="195">
        <v>521203</v>
      </c>
      <c r="F27" s="195">
        <v>595081</v>
      </c>
      <c r="G27" s="195">
        <v>589108</v>
      </c>
      <c r="H27" s="195">
        <v>559390</v>
      </c>
      <c r="I27" s="196">
        <f t="shared" ref="I27:I34" si="6">IFERROR(H27/G27-1,"-")</f>
        <v>-5.0445758672433616E-2</v>
      </c>
      <c r="J27" s="195">
        <f t="shared" si="5"/>
        <v>-29718</v>
      </c>
      <c r="K27" s="196">
        <f t="shared" ref="K27:K34" si="7">H27/H$8</f>
        <v>0.20084237541105385</v>
      </c>
      <c r="L27" s="197"/>
    </row>
    <row r="28" spans="1:12" s="74" customFormat="1" x14ac:dyDescent="0.25">
      <c r="A28" s="193"/>
      <c r="B28" s="194" t="s">
        <v>115</v>
      </c>
      <c r="C28" s="195">
        <v>9512</v>
      </c>
      <c r="D28" s="195">
        <v>139728</v>
      </c>
      <c r="E28" s="195">
        <v>113401</v>
      </c>
      <c r="F28" s="195">
        <v>116505</v>
      </c>
      <c r="G28" s="195">
        <v>114433</v>
      </c>
      <c r="H28" s="195">
        <v>106495</v>
      </c>
      <c r="I28" s="196">
        <f t="shared" si="6"/>
        <v>-6.9368101858729547E-2</v>
      </c>
      <c r="J28" s="195">
        <f t="shared" si="5"/>
        <v>-7938</v>
      </c>
      <c r="K28" s="196">
        <f t="shared" si="7"/>
        <v>3.8235772483240997E-2</v>
      </c>
      <c r="L28" s="197"/>
    </row>
    <row r="29" spans="1:12" x14ac:dyDescent="0.25">
      <c r="A29" s="193"/>
      <c r="B29" s="194" t="s">
        <v>118</v>
      </c>
      <c r="C29" s="195">
        <v>6369</v>
      </c>
      <c r="D29" s="195">
        <v>24934</v>
      </c>
      <c r="E29" s="195">
        <v>31016</v>
      </c>
      <c r="F29" s="195">
        <v>38569</v>
      </c>
      <c r="G29" s="195">
        <v>23019</v>
      </c>
      <c r="H29" s="195">
        <v>25150</v>
      </c>
      <c r="I29" s="196">
        <f t="shared" si="6"/>
        <v>9.2575698336157197E-2</v>
      </c>
      <c r="J29" s="195">
        <f t="shared" si="5"/>
        <v>2131</v>
      </c>
      <c r="K29" s="196">
        <f t="shared" si="7"/>
        <v>9.029810582219926E-3</v>
      </c>
      <c r="L29" s="103"/>
    </row>
    <row r="30" spans="1:12" x14ac:dyDescent="0.25">
      <c r="A30" s="193"/>
      <c r="B30" s="194" t="s">
        <v>125</v>
      </c>
      <c r="C30" s="195">
        <v>1185</v>
      </c>
      <c r="D30" s="195">
        <v>53125</v>
      </c>
      <c r="E30" s="195">
        <v>49325</v>
      </c>
      <c r="F30" s="195">
        <v>46471</v>
      </c>
      <c r="G30" s="195">
        <v>46544</v>
      </c>
      <c r="H30" s="195">
        <v>44643</v>
      </c>
      <c r="I30" s="196">
        <f t="shared" si="6"/>
        <v>-4.0843073221038195E-2</v>
      </c>
      <c r="J30" s="195">
        <f t="shared" si="5"/>
        <v>-1901</v>
      </c>
      <c r="K30" s="196">
        <f t="shared" si="7"/>
        <v>1.6028542100280086E-2</v>
      </c>
      <c r="L30" s="103"/>
    </row>
    <row r="31" spans="1:12" x14ac:dyDescent="0.25">
      <c r="A31" s="193"/>
      <c r="B31" s="194" t="s">
        <v>121</v>
      </c>
      <c r="C31" s="195">
        <v>28906</v>
      </c>
      <c r="D31" s="195">
        <v>55785</v>
      </c>
      <c r="E31" s="195">
        <v>44068</v>
      </c>
      <c r="F31" s="195">
        <v>43792</v>
      </c>
      <c r="G31" s="195">
        <v>44746</v>
      </c>
      <c r="H31" s="195">
        <v>42856</v>
      </c>
      <c r="I31" s="196">
        <f t="shared" si="6"/>
        <v>-4.2238412372055611E-2</v>
      </c>
      <c r="J31" s="195">
        <f t="shared" si="5"/>
        <v>-1890</v>
      </c>
      <c r="K31" s="196">
        <f t="shared" si="7"/>
        <v>1.5386940847380404E-2</v>
      </c>
      <c r="L31" s="103"/>
    </row>
    <row r="32" spans="1:12" x14ac:dyDescent="0.25">
      <c r="A32" s="193"/>
      <c r="B32" s="194" t="s">
        <v>130</v>
      </c>
      <c r="C32" s="195">
        <v>1</v>
      </c>
      <c r="D32" s="195">
        <v>1233</v>
      </c>
      <c r="E32" s="195">
        <v>3488</v>
      </c>
      <c r="F32" s="195">
        <v>4749</v>
      </c>
      <c r="G32" s="195">
        <v>6214</v>
      </c>
      <c r="H32" s="195">
        <v>3717</v>
      </c>
      <c r="I32" s="196">
        <f t="shared" si="6"/>
        <v>-0.40183456710653365</v>
      </c>
      <c r="J32" s="195">
        <f t="shared" si="5"/>
        <v>-2497</v>
      </c>
      <c r="K32" s="196">
        <f t="shared" si="7"/>
        <v>1.334544967559104E-3</v>
      </c>
      <c r="L32" s="103"/>
    </row>
    <row r="33" spans="1:12" x14ac:dyDescent="0.25">
      <c r="A33" s="193" t="s">
        <v>146</v>
      </c>
      <c r="B33" s="194" t="s">
        <v>133</v>
      </c>
      <c r="C33" s="195">
        <v>110</v>
      </c>
      <c r="D33" s="195">
        <v>491</v>
      </c>
      <c r="E33" s="195">
        <v>2693</v>
      </c>
      <c r="F33" s="195">
        <v>3027</v>
      </c>
      <c r="G33" s="195">
        <v>1246</v>
      </c>
      <c r="H33" s="195">
        <v>655</v>
      </c>
      <c r="I33" s="196">
        <f t="shared" si="6"/>
        <v>-0.4743178170144462</v>
      </c>
      <c r="J33" s="195">
        <f t="shared" si="5"/>
        <v>-591</v>
      </c>
      <c r="K33" s="196">
        <f t="shared" si="7"/>
        <v>2.3517001715125452E-4</v>
      </c>
      <c r="L33" s="103"/>
    </row>
    <row r="34" spans="1:12" x14ac:dyDescent="0.25">
      <c r="A34" s="193" t="s">
        <v>147</v>
      </c>
      <c r="B34" s="199" t="s">
        <v>147</v>
      </c>
      <c r="C34" s="200">
        <f t="shared" ref="C34" si="8">C26-SUM(C27:C33)</f>
        <v>22883</v>
      </c>
      <c r="D34" s="200">
        <f t="shared" ref="D34:H34" si="9">D26-SUM(D27:D33)</f>
        <v>127138</v>
      </c>
      <c r="E34" s="200">
        <f t="shared" si="9"/>
        <v>158065</v>
      </c>
      <c r="F34" s="200">
        <f t="shared" si="9"/>
        <v>173421</v>
      </c>
      <c r="G34" s="200">
        <f t="shared" si="9"/>
        <v>201822</v>
      </c>
      <c r="H34" s="200">
        <f t="shared" si="9"/>
        <v>179998</v>
      </c>
      <c r="I34" s="201">
        <f t="shared" si="6"/>
        <v>-0.10813489114169916</v>
      </c>
      <c r="J34" s="200">
        <f>H34-G34</f>
        <v>-21824</v>
      </c>
      <c r="K34" s="201">
        <f t="shared" si="7"/>
        <v>6.4626156865941239E-2</v>
      </c>
      <c r="L34" s="103"/>
    </row>
    <row r="35" spans="1:12" s="177" customFormat="1" x14ac:dyDescent="0.25">
      <c r="A35" s="193"/>
      <c r="B35" s="186" t="s">
        <v>47</v>
      </c>
      <c r="C35" s="184"/>
      <c r="D35" s="184"/>
      <c r="E35" s="184"/>
      <c r="F35" s="184"/>
      <c r="G35" s="184"/>
      <c r="H35" s="184"/>
      <c r="I35" s="184"/>
      <c r="J35" s="184"/>
      <c r="K35" s="184"/>
    </row>
    <row r="36" spans="1:12" x14ac:dyDescent="0.25">
      <c r="A36" s="193"/>
      <c r="B36" s="187" t="s">
        <v>70</v>
      </c>
      <c r="C36" s="209">
        <v>105790</v>
      </c>
      <c r="D36" s="209">
        <v>422869</v>
      </c>
      <c r="E36" s="209">
        <v>748642</v>
      </c>
      <c r="F36" s="209">
        <v>799868</v>
      </c>
      <c r="G36" s="209">
        <v>807680</v>
      </c>
      <c r="H36" s="209">
        <v>815302</v>
      </c>
      <c r="I36" s="210">
        <f>IFERROR(H36/G36-1,"-")</f>
        <v>9.4369057052297034E-3</v>
      </c>
      <c r="J36" s="209">
        <f>H36-G36</f>
        <v>7622</v>
      </c>
      <c r="K36" s="210">
        <f>H36/H$8</f>
        <v>0.29272455774572842</v>
      </c>
      <c r="L36" s="103"/>
    </row>
    <row r="37" spans="1:12" x14ac:dyDescent="0.25">
      <c r="A37" s="193" t="s">
        <v>98</v>
      </c>
      <c r="B37" s="190" t="s">
        <v>99</v>
      </c>
      <c r="C37" s="191">
        <v>30758</v>
      </c>
      <c r="D37" s="191">
        <v>42507</v>
      </c>
      <c r="E37" s="191">
        <v>45509</v>
      </c>
      <c r="F37" s="191">
        <v>54675</v>
      </c>
      <c r="G37" s="191">
        <v>51020</v>
      </c>
      <c r="H37" s="191">
        <v>57217</v>
      </c>
      <c r="I37" s="192">
        <f>IFERROR(H37/G37-1,"-")</f>
        <v>0.12146217169737361</v>
      </c>
      <c r="J37" s="191">
        <f t="shared" ref="J37:J47" si="10">H37-G37</f>
        <v>6197</v>
      </c>
      <c r="K37" s="192">
        <f>H37/H$8</f>
        <v>2.0543088353195925E-2</v>
      </c>
      <c r="L37" s="103"/>
    </row>
    <row r="38" spans="1:12" x14ac:dyDescent="0.25">
      <c r="A38" s="193" t="s">
        <v>105</v>
      </c>
      <c r="B38" s="194" t="s">
        <v>105</v>
      </c>
      <c r="C38" s="195">
        <v>13128</v>
      </c>
      <c r="D38" s="195">
        <v>8166</v>
      </c>
      <c r="E38" s="195">
        <v>11181</v>
      </c>
      <c r="F38" s="195">
        <v>26835</v>
      </c>
      <c r="G38" s="195">
        <v>21672</v>
      </c>
      <c r="H38" s="195">
        <v>22954</v>
      </c>
      <c r="I38" s="196">
        <f>IFERROR(H38/G38-1,"-")</f>
        <v>5.9154669619785993E-2</v>
      </c>
      <c r="J38" s="195">
        <f t="shared" si="10"/>
        <v>1282</v>
      </c>
      <c r="K38" s="196">
        <f>H38/H$8</f>
        <v>8.2413627079235066E-3</v>
      </c>
      <c r="L38" s="103"/>
    </row>
    <row r="39" spans="1:12" x14ac:dyDescent="0.25">
      <c r="A39" s="193" t="s">
        <v>102</v>
      </c>
      <c r="B39" s="194" t="s">
        <v>102</v>
      </c>
      <c r="C39" s="195">
        <v>17630</v>
      </c>
      <c r="D39" s="195">
        <v>34341</v>
      </c>
      <c r="E39" s="195">
        <v>34328</v>
      </c>
      <c r="F39" s="195">
        <v>27840</v>
      </c>
      <c r="G39" s="195">
        <v>29348</v>
      </c>
      <c r="H39" s="195">
        <v>34263</v>
      </c>
      <c r="I39" s="196">
        <f>IFERROR(H39/G39-1,"-")</f>
        <v>0.16747308164099772</v>
      </c>
      <c r="J39" s="195">
        <f t="shared" si="10"/>
        <v>4915</v>
      </c>
      <c r="K39" s="196">
        <f>H39/H$8</f>
        <v>1.2301725645272418E-2</v>
      </c>
      <c r="L39" s="103"/>
    </row>
    <row r="40" spans="1:12" x14ac:dyDescent="0.25">
      <c r="A40" s="193"/>
      <c r="B40" s="190" t="s">
        <v>109</v>
      </c>
      <c r="C40" s="191">
        <v>75032</v>
      </c>
      <c r="D40" s="191">
        <v>380362</v>
      </c>
      <c r="E40" s="191">
        <v>703133</v>
      </c>
      <c r="F40" s="191">
        <v>745193</v>
      </c>
      <c r="G40" s="191">
        <v>756660</v>
      </c>
      <c r="H40" s="191">
        <v>758085</v>
      </c>
      <c r="I40" s="192">
        <f>IFERROR(H40/G40-1,"-")</f>
        <v>1.88327650463882E-3</v>
      </c>
      <c r="J40" s="191">
        <f t="shared" si="10"/>
        <v>1425</v>
      </c>
      <c r="K40" s="192">
        <f>H40/H$8</f>
        <v>0.27218146939253252</v>
      </c>
      <c r="L40" s="103"/>
    </row>
    <row r="41" spans="1:12" s="74" customFormat="1" x14ac:dyDescent="0.25">
      <c r="A41" s="193"/>
      <c r="B41" s="194" t="s">
        <v>112</v>
      </c>
      <c r="C41" s="195">
        <v>30652</v>
      </c>
      <c r="D41" s="195">
        <v>175746</v>
      </c>
      <c r="E41" s="195">
        <v>420455</v>
      </c>
      <c r="F41" s="195">
        <v>441166</v>
      </c>
      <c r="G41" s="195">
        <v>457809</v>
      </c>
      <c r="H41" s="195">
        <v>449547</v>
      </c>
      <c r="I41" s="196">
        <f t="shared" ref="I41:I48" si="11">IFERROR(H41/G41-1,"-")</f>
        <v>-1.8046827388714548E-2</v>
      </c>
      <c r="J41" s="195">
        <f t="shared" si="10"/>
        <v>-8262</v>
      </c>
      <c r="K41" s="196">
        <f t="shared" ref="K41:K48" si="12">H41/H$8</f>
        <v>0.16140454305388552</v>
      </c>
      <c r="L41" s="197"/>
    </row>
    <row r="42" spans="1:12" s="74" customFormat="1" x14ac:dyDescent="0.25">
      <c r="A42" s="193"/>
      <c r="B42" s="194" t="s">
        <v>115</v>
      </c>
      <c r="C42" s="195">
        <v>2711</v>
      </c>
      <c r="D42" s="195">
        <v>19406</v>
      </c>
      <c r="E42" s="195">
        <v>20951</v>
      </c>
      <c r="F42" s="195">
        <v>27751</v>
      </c>
      <c r="G42" s="195">
        <v>23085</v>
      </c>
      <c r="H42" s="195">
        <v>27143</v>
      </c>
      <c r="I42" s="196">
        <f t="shared" si="11"/>
        <v>0.17578514186701311</v>
      </c>
      <c r="J42" s="195">
        <f t="shared" si="10"/>
        <v>4058</v>
      </c>
      <c r="K42" s="196">
        <f t="shared" si="12"/>
        <v>9.7453737031091628E-3</v>
      </c>
      <c r="L42" s="197"/>
    </row>
    <row r="43" spans="1:12" x14ac:dyDescent="0.25">
      <c r="A43" s="193"/>
      <c r="B43" s="194" t="s">
        <v>118</v>
      </c>
      <c r="C43" s="195">
        <v>2424</v>
      </c>
      <c r="D43" s="195">
        <v>9241</v>
      </c>
      <c r="E43" s="195">
        <v>15077</v>
      </c>
      <c r="F43" s="195">
        <v>19988</v>
      </c>
      <c r="G43" s="195">
        <v>18074</v>
      </c>
      <c r="H43" s="195">
        <v>17557</v>
      </c>
      <c r="I43" s="196">
        <f t="shared" si="11"/>
        <v>-2.8604625428792718E-2</v>
      </c>
      <c r="J43" s="195">
        <f t="shared" si="10"/>
        <v>-517</v>
      </c>
      <c r="K43" s="196">
        <f t="shared" si="12"/>
        <v>6.3036335742359933E-3</v>
      </c>
      <c r="L43" s="103"/>
    </row>
    <row r="44" spans="1:12" x14ac:dyDescent="0.25">
      <c r="A44" s="193"/>
      <c r="B44" s="194" t="s">
        <v>125</v>
      </c>
      <c r="C44" s="195">
        <v>592</v>
      </c>
      <c r="D44" s="195">
        <v>40044</v>
      </c>
      <c r="E44" s="195">
        <v>48135</v>
      </c>
      <c r="F44" s="195">
        <v>45100</v>
      </c>
      <c r="G44" s="195">
        <v>42045</v>
      </c>
      <c r="H44" s="195">
        <v>43076</v>
      </c>
      <c r="I44" s="196">
        <f t="shared" si="11"/>
        <v>2.4521346176715531E-2</v>
      </c>
      <c r="J44" s="195">
        <f t="shared" si="10"/>
        <v>1031</v>
      </c>
      <c r="K44" s="196">
        <f t="shared" si="12"/>
        <v>1.5465929250087695E-2</v>
      </c>
      <c r="L44" s="103"/>
    </row>
    <row r="45" spans="1:12" x14ac:dyDescent="0.25">
      <c r="A45" s="193"/>
      <c r="B45" s="194" t="s">
        <v>121</v>
      </c>
      <c r="C45" s="195">
        <v>17306</v>
      </c>
      <c r="D45" s="195">
        <v>27344</v>
      </c>
      <c r="E45" s="195">
        <v>28789</v>
      </c>
      <c r="F45" s="195">
        <v>33205</v>
      </c>
      <c r="G45" s="195">
        <v>26955</v>
      </c>
      <c r="H45" s="195">
        <v>29961</v>
      </c>
      <c r="I45" s="196">
        <f t="shared" si="11"/>
        <v>0.11151919866444082</v>
      </c>
      <c r="J45" s="195">
        <f t="shared" si="10"/>
        <v>3006</v>
      </c>
      <c r="K45" s="196">
        <f t="shared" si="12"/>
        <v>1.0757143334150744E-2</v>
      </c>
      <c r="L45" s="103"/>
    </row>
    <row r="46" spans="1:12" x14ac:dyDescent="0.25">
      <c r="A46" s="193"/>
      <c r="B46" s="194" t="s">
        <v>130</v>
      </c>
      <c r="C46" s="195">
        <v>22</v>
      </c>
      <c r="D46" s="195">
        <v>4435</v>
      </c>
      <c r="E46" s="195">
        <v>4878</v>
      </c>
      <c r="F46" s="195">
        <v>3511</v>
      </c>
      <c r="G46" s="195">
        <v>4211</v>
      </c>
      <c r="H46" s="195">
        <v>3500</v>
      </c>
      <c r="I46" s="196">
        <f t="shared" si="11"/>
        <v>-0.16884350510567558</v>
      </c>
      <c r="J46" s="195">
        <f t="shared" si="10"/>
        <v>-711</v>
      </c>
      <c r="K46" s="196">
        <f t="shared" si="12"/>
        <v>1.2566336794341845E-3</v>
      </c>
      <c r="L46" s="103"/>
    </row>
    <row r="47" spans="1:12" x14ac:dyDescent="0.25">
      <c r="A47" s="193" t="s">
        <v>146</v>
      </c>
      <c r="B47" s="194" t="s">
        <v>133</v>
      </c>
      <c r="C47" s="195">
        <v>200</v>
      </c>
      <c r="D47" s="195">
        <v>834</v>
      </c>
      <c r="E47" s="195">
        <v>881</v>
      </c>
      <c r="F47" s="195">
        <v>2697</v>
      </c>
      <c r="G47" s="195">
        <v>805</v>
      </c>
      <c r="H47" s="195">
        <v>984</v>
      </c>
      <c r="I47" s="196">
        <f t="shared" si="11"/>
        <v>0.22236024844720492</v>
      </c>
      <c r="J47" s="195">
        <f t="shared" si="10"/>
        <v>179</v>
      </c>
      <c r="K47" s="196">
        <f t="shared" si="12"/>
        <v>3.5329358301806787E-4</v>
      </c>
      <c r="L47" s="103"/>
    </row>
    <row r="48" spans="1:12" x14ac:dyDescent="0.25">
      <c r="A48" s="193" t="s">
        <v>147</v>
      </c>
      <c r="B48" s="199" t="s">
        <v>147</v>
      </c>
      <c r="C48" s="200">
        <f t="shared" ref="C48" si="13">C40-SUM(C41:C47)</f>
        <v>21125</v>
      </c>
      <c r="D48" s="200">
        <f t="shared" ref="D48:H48" si="14">D40-SUM(D41:D47)</f>
        <v>103312</v>
      </c>
      <c r="E48" s="200">
        <f t="shared" si="14"/>
        <v>163967</v>
      </c>
      <c r="F48" s="200">
        <f t="shared" si="14"/>
        <v>171775</v>
      </c>
      <c r="G48" s="200">
        <f t="shared" si="14"/>
        <v>183676</v>
      </c>
      <c r="H48" s="200">
        <f t="shared" si="14"/>
        <v>186317</v>
      </c>
      <c r="I48" s="201">
        <f t="shared" si="11"/>
        <v>1.4378579672902347E-2</v>
      </c>
      <c r="J48" s="200">
        <f>H48-G48</f>
        <v>2641</v>
      </c>
      <c r="K48" s="201">
        <f t="shared" si="12"/>
        <v>6.6894919214611132E-2</v>
      </c>
      <c r="L48" s="103"/>
    </row>
    <row r="49" spans="1:12" s="177" customFormat="1" x14ac:dyDescent="0.25">
      <c r="A49" s="193"/>
      <c r="B49" s="186" t="s">
        <v>48</v>
      </c>
      <c r="C49" s="184"/>
      <c r="D49" s="184"/>
      <c r="E49" s="184"/>
      <c r="F49" s="184"/>
      <c r="G49" s="184"/>
      <c r="H49" s="184"/>
      <c r="I49" s="184"/>
      <c r="J49" s="184"/>
      <c r="K49" s="184"/>
    </row>
    <row r="50" spans="1:12" x14ac:dyDescent="0.25">
      <c r="A50" s="193"/>
      <c r="B50" s="187" t="s">
        <v>70</v>
      </c>
      <c r="C50" s="209">
        <v>1029</v>
      </c>
      <c r="D50" s="209">
        <v>12114</v>
      </c>
      <c r="E50" s="209">
        <v>13618</v>
      </c>
      <c r="F50" s="209">
        <v>13736</v>
      </c>
      <c r="G50" s="209">
        <v>17692</v>
      </c>
      <c r="H50" s="209">
        <v>16653</v>
      </c>
      <c r="I50" s="210">
        <f>IFERROR(H50/G50-1,"-")</f>
        <v>-5.872710829753558E-2</v>
      </c>
      <c r="J50" s="209">
        <f>H50-G50</f>
        <v>-1039</v>
      </c>
      <c r="K50" s="210">
        <f>H50/H$8</f>
        <v>5.9790630467478501E-3</v>
      </c>
      <c r="L50" s="103"/>
    </row>
    <row r="51" spans="1:12" x14ac:dyDescent="0.25">
      <c r="A51" s="193" t="s">
        <v>98</v>
      </c>
      <c r="B51" s="190" t="s">
        <v>99</v>
      </c>
      <c r="C51" s="191">
        <v>485</v>
      </c>
      <c r="D51" s="191">
        <v>2108</v>
      </c>
      <c r="E51" s="191">
        <v>1825</v>
      </c>
      <c r="F51" s="191">
        <v>3190</v>
      </c>
      <c r="G51" s="191">
        <v>2770</v>
      </c>
      <c r="H51" s="191">
        <v>2772</v>
      </c>
      <c r="I51" s="192">
        <f>IFERROR(H51/G51-1,"-")</f>
        <v>7.2202166064982976E-4</v>
      </c>
      <c r="J51" s="191">
        <f t="shared" ref="J51:J61" si="15">H51-G51</f>
        <v>2</v>
      </c>
      <c r="K51" s="192">
        <f>H51/H$8</f>
        <v>9.9525387411187423E-4</v>
      </c>
      <c r="L51" s="103"/>
    </row>
    <row r="52" spans="1:12" x14ac:dyDescent="0.25">
      <c r="A52" s="193" t="s">
        <v>105</v>
      </c>
      <c r="B52" s="194" t="s">
        <v>105</v>
      </c>
      <c r="C52" s="195">
        <v>341</v>
      </c>
      <c r="D52" s="195">
        <v>857</v>
      </c>
      <c r="E52" s="195">
        <v>424</v>
      </c>
      <c r="F52" s="195">
        <v>2265</v>
      </c>
      <c r="G52" s="195">
        <v>1991</v>
      </c>
      <c r="H52" s="195">
        <v>1387</v>
      </c>
      <c r="I52" s="196">
        <f>IFERROR(H52/G52-1,"-")</f>
        <v>-0.30336514314414864</v>
      </c>
      <c r="J52" s="195">
        <f t="shared" si="15"/>
        <v>-604</v>
      </c>
      <c r="K52" s="196">
        <f>H52/H$8</f>
        <v>4.979859752500611E-4</v>
      </c>
      <c r="L52" s="103"/>
    </row>
    <row r="53" spans="1:12" x14ac:dyDescent="0.25">
      <c r="A53" s="193" t="s">
        <v>102</v>
      </c>
      <c r="B53" s="194" t="s">
        <v>102</v>
      </c>
      <c r="C53" s="195">
        <v>144</v>
      </c>
      <c r="D53" s="195">
        <v>1251</v>
      </c>
      <c r="E53" s="195">
        <v>1401</v>
      </c>
      <c r="F53" s="195">
        <v>925</v>
      </c>
      <c r="G53" s="195">
        <v>779</v>
      </c>
      <c r="H53" s="195">
        <v>1385</v>
      </c>
      <c r="I53" s="196">
        <f>IFERROR(H53/G53-1,"-")</f>
        <v>0.77792041078305529</v>
      </c>
      <c r="J53" s="195">
        <f t="shared" si="15"/>
        <v>606</v>
      </c>
      <c r="K53" s="196">
        <f>H53/H$8</f>
        <v>4.9726789886181302E-4</v>
      </c>
      <c r="L53" s="103"/>
    </row>
    <row r="54" spans="1:12" x14ac:dyDescent="0.25">
      <c r="A54" s="193"/>
      <c r="B54" s="190" t="s">
        <v>109</v>
      </c>
      <c r="C54" s="191">
        <v>544</v>
      </c>
      <c r="D54" s="191">
        <v>10006</v>
      </c>
      <c r="E54" s="191">
        <v>11793</v>
      </c>
      <c r="F54" s="191">
        <v>10546</v>
      </c>
      <c r="G54" s="191">
        <v>14922</v>
      </c>
      <c r="H54" s="191">
        <v>13881</v>
      </c>
      <c r="I54" s="192">
        <f>IFERROR(H54/G54-1,"-")</f>
        <v>-6.9762766385203068E-2</v>
      </c>
      <c r="J54" s="191">
        <f t="shared" si="15"/>
        <v>-1041</v>
      </c>
      <c r="K54" s="192">
        <f>H54/H$8</f>
        <v>4.9838091726359755E-3</v>
      </c>
      <c r="L54" s="103"/>
    </row>
    <row r="55" spans="1:12" s="74" customFormat="1" x14ac:dyDescent="0.25">
      <c r="A55" s="193"/>
      <c r="B55" s="194" t="s">
        <v>112</v>
      </c>
      <c r="C55" s="195">
        <v>119</v>
      </c>
      <c r="D55" s="195">
        <v>4607</v>
      </c>
      <c r="E55" s="195">
        <v>5315</v>
      </c>
      <c r="F55" s="195">
        <v>5343</v>
      </c>
      <c r="G55" s="195">
        <v>6777</v>
      </c>
      <c r="H55" s="195">
        <v>6040</v>
      </c>
      <c r="I55" s="196">
        <f t="shared" ref="I55:I62" si="16">IFERROR(H55/G55-1,"-")</f>
        <v>-0.10875018444739559</v>
      </c>
      <c r="J55" s="195">
        <f t="shared" si="15"/>
        <v>-737</v>
      </c>
      <c r="K55" s="196">
        <f t="shared" ref="K55:K62" si="17">H55/H$8</f>
        <v>2.1685906925092784E-3</v>
      </c>
      <c r="L55" s="197"/>
    </row>
    <row r="56" spans="1:12" s="74" customFormat="1" x14ac:dyDescent="0.25">
      <c r="A56" s="193"/>
      <c r="B56" s="194" t="s">
        <v>115</v>
      </c>
      <c r="C56" s="195">
        <v>221</v>
      </c>
      <c r="D56" s="195">
        <v>2697</v>
      </c>
      <c r="E56" s="195">
        <v>2011</v>
      </c>
      <c r="F56" s="195">
        <v>2284</v>
      </c>
      <c r="G56" s="195">
        <v>2496</v>
      </c>
      <c r="H56" s="195">
        <v>2906</v>
      </c>
      <c r="I56" s="196">
        <f t="shared" si="16"/>
        <v>0.16426282051282048</v>
      </c>
      <c r="J56" s="195">
        <f t="shared" si="15"/>
        <v>410</v>
      </c>
      <c r="K56" s="196">
        <f t="shared" si="17"/>
        <v>1.0433649921244971E-3</v>
      </c>
      <c r="L56" s="197"/>
    </row>
    <row r="57" spans="1:12" x14ac:dyDescent="0.25">
      <c r="A57" s="193"/>
      <c r="B57" s="194" t="s">
        <v>118</v>
      </c>
      <c r="C57" s="195">
        <v>58</v>
      </c>
      <c r="D57" s="195">
        <v>269</v>
      </c>
      <c r="E57" s="195">
        <v>658</v>
      </c>
      <c r="F57" s="195">
        <v>379</v>
      </c>
      <c r="G57" s="195">
        <v>1070</v>
      </c>
      <c r="H57" s="195">
        <v>933</v>
      </c>
      <c r="I57" s="196">
        <f t="shared" si="16"/>
        <v>-0.12803738317757007</v>
      </c>
      <c r="J57" s="195">
        <f t="shared" si="15"/>
        <v>-137</v>
      </c>
      <c r="K57" s="196">
        <f t="shared" si="17"/>
        <v>3.3498263511774117E-4</v>
      </c>
      <c r="L57" s="103"/>
    </row>
    <row r="58" spans="1:12" x14ac:dyDescent="0.25">
      <c r="A58" s="193"/>
      <c r="B58" s="194" t="s">
        <v>125</v>
      </c>
      <c r="C58" s="195">
        <v>0</v>
      </c>
      <c r="D58" s="195">
        <v>216</v>
      </c>
      <c r="E58" s="195">
        <v>101</v>
      </c>
      <c r="F58" s="195">
        <v>141</v>
      </c>
      <c r="G58" s="195">
        <v>436</v>
      </c>
      <c r="H58" s="195">
        <v>396</v>
      </c>
      <c r="I58" s="196">
        <f t="shared" si="16"/>
        <v>-9.1743119266055051E-2</v>
      </c>
      <c r="J58" s="195">
        <f t="shared" si="15"/>
        <v>-40</v>
      </c>
      <c r="K58" s="196">
        <f t="shared" si="17"/>
        <v>1.4217912487312487E-4</v>
      </c>
      <c r="L58" s="103"/>
    </row>
    <row r="59" spans="1:12" x14ac:dyDescent="0.25">
      <c r="A59" s="193"/>
      <c r="B59" s="194" t="s">
        <v>121</v>
      </c>
      <c r="C59" s="195">
        <v>10</v>
      </c>
      <c r="D59" s="195">
        <v>130</v>
      </c>
      <c r="E59" s="195">
        <v>194</v>
      </c>
      <c r="F59" s="195">
        <v>55</v>
      </c>
      <c r="G59" s="195">
        <v>464</v>
      </c>
      <c r="H59" s="195">
        <v>185</v>
      </c>
      <c r="I59" s="196">
        <f t="shared" si="16"/>
        <v>-0.6012931034482758</v>
      </c>
      <c r="J59" s="195">
        <f t="shared" si="15"/>
        <v>-279</v>
      </c>
      <c r="K59" s="196">
        <f t="shared" si="17"/>
        <v>6.6422065912949749E-5</v>
      </c>
      <c r="L59" s="103"/>
    </row>
    <row r="60" spans="1:12" x14ac:dyDescent="0.25">
      <c r="A60" s="193"/>
      <c r="B60" s="194" t="s">
        <v>130</v>
      </c>
      <c r="C60" s="195">
        <v>0</v>
      </c>
      <c r="D60" s="195">
        <v>0</v>
      </c>
      <c r="E60" s="195">
        <v>13</v>
      </c>
      <c r="F60" s="195">
        <v>28</v>
      </c>
      <c r="G60" s="195">
        <v>10</v>
      </c>
      <c r="H60" s="195">
        <v>4</v>
      </c>
      <c r="I60" s="196">
        <f t="shared" si="16"/>
        <v>-0.6</v>
      </c>
      <c r="J60" s="195">
        <f t="shared" si="15"/>
        <v>-6</v>
      </c>
      <c r="K60" s="196">
        <f t="shared" si="17"/>
        <v>1.4361527764962109E-6</v>
      </c>
      <c r="L60" s="103"/>
    </row>
    <row r="61" spans="1:12" x14ac:dyDescent="0.25">
      <c r="A61" s="193" t="s">
        <v>146</v>
      </c>
      <c r="B61" s="194" t="s">
        <v>133</v>
      </c>
      <c r="C61" s="195">
        <v>0</v>
      </c>
      <c r="D61" s="195">
        <v>2</v>
      </c>
      <c r="E61" s="195">
        <v>0</v>
      </c>
      <c r="F61" s="195">
        <v>0</v>
      </c>
      <c r="G61" s="195">
        <v>9</v>
      </c>
      <c r="H61" s="195">
        <v>0</v>
      </c>
      <c r="I61" s="196">
        <f t="shared" si="16"/>
        <v>-1</v>
      </c>
      <c r="J61" s="195">
        <f t="shared" si="15"/>
        <v>-9</v>
      </c>
      <c r="K61" s="196">
        <f t="shared" si="17"/>
        <v>0</v>
      </c>
      <c r="L61" s="103"/>
    </row>
    <row r="62" spans="1:12" x14ac:dyDescent="0.25">
      <c r="A62" s="193" t="s">
        <v>147</v>
      </c>
      <c r="B62" s="199" t="s">
        <v>147</v>
      </c>
      <c r="C62" s="200">
        <f t="shared" ref="C62" si="18">C54-SUM(C55:C61)</f>
        <v>136</v>
      </c>
      <c r="D62" s="200">
        <f t="shared" ref="D62:H62" si="19">D54-SUM(D55:D61)</f>
        <v>2085</v>
      </c>
      <c r="E62" s="200">
        <f t="shared" si="19"/>
        <v>3501</v>
      </c>
      <c r="F62" s="200">
        <f t="shared" si="19"/>
        <v>2316</v>
      </c>
      <c r="G62" s="200">
        <f t="shared" si="19"/>
        <v>3660</v>
      </c>
      <c r="H62" s="200">
        <f t="shared" si="19"/>
        <v>3417</v>
      </c>
      <c r="I62" s="201">
        <f t="shared" si="16"/>
        <v>-6.6393442622950771E-2</v>
      </c>
      <c r="J62" s="200">
        <f>H62-G62</f>
        <v>-243</v>
      </c>
      <c r="K62" s="201">
        <f t="shared" si="17"/>
        <v>1.2268335093218881E-3</v>
      </c>
      <c r="L62" s="103"/>
    </row>
    <row r="63" spans="1:12" s="177" customFormat="1" x14ac:dyDescent="0.25">
      <c r="A63" s="193"/>
      <c r="B63" s="186" t="s">
        <v>49</v>
      </c>
      <c r="C63" s="184"/>
      <c r="D63" s="184"/>
      <c r="E63" s="184"/>
      <c r="F63" s="184"/>
      <c r="G63" s="184"/>
      <c r="H63" s="184"/>
      <c r="I63" s="184"/>
      <c r="J63" s="184"/>
      <c r="K63" s="184"/>
    </row>
    <row r="64" spans="1:12" x14ac:dyDescent="0.25">
      <c r="A64" s="193"/>
      <c r="B64" s="187" t="s">
        <v>70</v>
      </c>
      <c r="C64" s="209">
        <v>21185</v>
      </c>
      <c r="D64" s="209">
        <v>47142</v>
      </c>
      <c r="E64" s="209">
        <v>74490</v>
      </c>
      <c r="F64" s="209">
        <v>66924</v>
      </c>
      <c r="G64" s="209">
        <v>81749</v>
      </c>
      <c r="H64" s="209">
        <v>78737</v>
      </c>
      <c r="I64" s="210">
        <f>IFERROR(H64/G64-1,"-")</f>
        <v>-3.6844487394341208E-2</v>
      </c>
      <c r="J64" s="209">
        <f>H64-G64</f>
        <v>-3012</v>
      </c>
      <c r="K64" s="210">
        <f>H64/H$8</f>
        <v>2.8269590290745539E-2</v>
      </c>
      <c r="L64" s="103"/>
    </row>
    <row r="65" spans="1:12" x14ac:dyDescent="0.25">
      <c r="A65" s="193" t="s">
        <v>98</v>
      </c>
      <c r="B65" s="190" t="s">
        <v>99</v>
      </c>
      <c r="C65" s="191">
        <v>15978</v>
      </c>
      <c r="D65" s="191">
        <v>16950</v>
      </c>
      <c r="E65" s="191">
        <v>6718</v>
      </c>
      <c r="F65" s="191">
        <v>28344</v>
      </c>
      <c r="G65" s="191">
        <v>26145</v>
      </c>
      <c r="H65" s="191">
        <v>14747</v>
      </c>
      <c r="I65" s="192">
        <f>IFERROR(H65/G65-1,"-")</f>
        <v>-0.43595333715815643</v>
      </c>
      <c r="J65" s="191">
        <f t="shared" ref="J65:J75" si="20">H65-G65</f>
        <v>-11398</v>
      </c>
      <c r="K65" s="192">
        <f>H65/H$8</f>
        <v>5.2947362487474059E-3</v>
      </c>
      <c r="L65" s="103"/>
    </row>
    <row r="66" spans="1:12" x14ac:dyDescent="0.25">
      <c r="A66" s="193" t="s">
        <v>105</v>
      </c>
      <c r="B66" s="194" t="s">
        <v>105</v>
      </c>
      <c r="C66" s="195">
        <v>3914</v>
      </c>
      <c r="D66" s="195">
        <v>9321</v>
      </c>
      <c r="E66" s="195">
        <v>1143</v>
      </c>
      <c r="F66" s="195">
        <v>19757</v>
      </c>
      <c r="G66" s="195">
        <v>14996</v>
      </c>
      <c r="H66" s="195">
        <v>2843</v>
      </c>
      <c r="I66" s="196">
        <f>IFERROR(H66/G66-1,"-")</f>
        <v>-0.81041611096292343</v>
      </c>
      <c r="J66" s="195">
        <f t="shared" si="20"/>
        <v>-12153</v>
      </c>
      <c r="K66" s="196">
        <f>H66/H$8</f>
        <v>1.0207455858946819E-3</v>
      </c>
      <c r="L66" s="103"/>
    </row>
    <row r="67" spans="1:12" x14ac:dyDescent="0.25">
      <c r="A67" s="193" t="s">
        <v>102</v>
      </c>
      <c r="B67" s="194" t="s">
        <v>102</v>
      </c>
      <c r="C67" s="195">
        <v>12064</v>
      </c>
      <c r="D67" s="195">
        <v>7629</v>
      </c>
      <c r="E67" s="195">
        <v>5575</v>
      </c>
      <c r="F67" s="195">
        <v>8587</v>
      </c>
      <c r="G67" s="195">
        <v>11149</v>
      </c>
      <c r="H67" s="195">
        <v>11904</v>
      </c>
      <c r="I67" s="196">
        <f>IFERROR(H67/G67-1,"-")</f>
        <v>6.7719077944210282E-2</v>
      </c>
      <c r="J67" s="195">
        <f t="shared" si="20"/>
        <v>755</v>
      </c>
      <c r="K67" s="196">
        <f>H67/H$8</f>
        <v>4.2739906628527233E-3</v>
      </c>
      <c r="L67" s="103"/>
    </row>
    <row r="68" spans="1:12" x14ac:dyDescent="0.25">
      <c r="A68" s="193"/>
      <c r="B68" s="190" t="s">
        <v>109</v>
      </c>
      <c r="C68" s="191">
        <v>5207</v>
      </c>
      <c r="D68" s="191">
        <v>30192</v>
      </c>
      <c r="E68" s="191">
        <v>67772</v>
      </c>
      <c r="F68" s="191">
        <v>38580</v>
      </c>
      <c r="G68" s="191">
        <v>55604</v>
      </c>
      <c r="H68" s="191">
        <v>63990</v>
      </c>
      <c r="I68" s="192">
        <f>IFERROR(H68/G68-1,"-")</f>
        <v>0.15081648802244452</v>
      </c>
      <c r="J68" s="191">
        <f t="shared" si="20"/>
        <v>8386</v>
      </c>
      <c r="K68" s="192">
        <f>H68/H$8</f>
        <v>2.2974854041998134E-2</v>
      </c>
      <c r="L68" s="103"/>
    </row>
    <row r="69" spans="1:12" s="74" customFormat="1" x14ac:dyDescent="0.25">
      <c r="A69" s="193"/>
      <c r="B69" s="194" t="s">
        <v>112</v>
      </c>
      <c r="C69" s="195">
        <v>1405</v>
      </c>
      <c r="D69" s="195">
        <v>14285</v>
      </c>
      <c r="E69" s="195">
        <v>31051</v>
      </c>
      <c r="F69" s="195">
        <v>16616</v>
      </c>
      <c r="G69" s="195">
        <v>28214</v>
      </c>
      <c r="H69" s="195">
        <v>31813</v>
      </c>
      <c r="I69" s="196">
        <f t="shared" ref="I69:I76" si="21">IFERROR(H69/G69-1,"-")</f>
        <v>0.12756078542567528</v>
      </c>
      <c r="J69" s="195">
        <f t="shared" si="20"/>
        <v>3599</v>
      </c>
      <c r="K69" s="196">
        <f t="shared" ref="K69:K76" si="22">H69/H$8</f>
        <v>1.142208206966849E-2</v>
      </c>
      <c r="L69" s="197"/>
    </row>
    <row r="70" spans="1:12" s="74" customFormat="1" x14ac:dyDescent="0.25">
      <c r="A70" s="193"/>
      <c r="B70" s="194" t="s">
        <v>115</v>
      </c>
      <c r="C70" s="195">
        <v>829</v>
      </c>
      <c r="D70" s="195">
        <v>3857</v>
      </c>
      <c r="E70" s="195">
        <v>2175</v>
      </c>
      <c r="F70" s="195">
        <v>3872</v>
      </c>
      <c r="G70" s="195">
        <v>3058</v>
      </c>
      <c r="H70" s="195">
        <v>5191</v>
      </c>
      <c r="I70" s="196">
        <f t="shared" si="21"/>
        <v>0.69751471550032695</v>
      </c>
      <c r="J70" s="195">
        <f t="shared" si="20"/>
        <v>2133</v>
      </c>
      <c r="K70" s="196">
        <f t="shared" si="22"/>
        <v>1.8637672656979577E-3</v>
      </c>
      <c r="L70" s="197"/>
    </row>
    <row r="71" spans="1:12" x14ac:dyDescent="0.25">
      <c r="A71" s="193"/>
      <c r="B71" s="194" t="s">
        <v>118</v>
      </c>
      <c r="C71" s="195">
        <v>694</v>
      </c>
      <c r="D71" s="195">
        <v>2749</v>
      </c>
      <c r="E71" s="195">
        <v>10452</v>
      </c>
      <c r="F71" s="195">
        <v>2122</v>
      </c>
      <c r="G71" s="195">
        <v>3768</v>
      </c>
      <c r="H71" s="195">
        <v>4493</v>
      </c>
      <c r="I71" s="196">
        <f t="shared" si="21"/>
        <v>0.19240976645435248</v>
      </c>
      <c r="J71" s="195">
        <f t="shared" si="20"/>
        <v>725</v>
      </c>
      <c r="K71" s="196">
        <f t="shared" si="22"/>
        <v>1.6131586061993689E-3</v>
      </c>
      <c r="L71" s="103"/>
    </row>
    <row r="72" spans="1:12" x14ac:dyDescent="0.25">
      <c r="A72" s="193"/>
      <c r="B72" s="194" t="s">
        <v>125</v>
      </c>
      <c r="C72" s="195">
        <v>23</v>
      </c>
      <c r="D72" s="195">
        <v>2807</v>
      </c>
      <c r="E72" s="195">
        <v>1098</v>
      </c>
      <c r="F72" s="195">
        <v>1581</v>
      </c>
      <c r="G72" s="195">
        <v>3392</v>
      </c>
      <c r="H72" s="195">
        <v>5513</v>
      </c>
      <c r="I72" s="196">
        <f t="shared" si="21"/>
        <v>0.62529481132075482</v>
      </c>
      <c r="J72" s="195">
        <f t="shared" si="20"/>
        <v>2121</v>
      </c>
      <c r="K72" s="196">
        <f t="shared" si="22"/>
        <v>1.9793775642059025E-3</v>
      </c>
      <c r="L72" s="103"/>
    </row>
    <row r="73" spans="1:12" x14ac:dyDescent="0.25">
      <c r="A73" s="193"/>
      <c r="B73" s="194" t="s">
        <v>121</v>
      </c>
      <c r="C73" s="195">
        <v>1207</v>
      </c>
      <c r="D73" s="195">
        <v>745</v>
      </c>
      <c r="E73" s="195">
        <v>2542</v>
      </c>
      <c r="F73" s="195">
        <v>345</v>
      </c>
      <c r="G73" s="195">
        <v>1688</v>
      </c>
      <c r="H73" s="195">
        <v>1171</v>
      </c>
      <c r="I73" s="196">
        <f t="shared" si="21"/>
        <v>-0.30627962085308058</v>
      </c>
      <c r="J73" s="195">
        <f t="shared" si="20"/>
        <v>-517</v>
      </c>
      <c r="K73" s="196">
        <f t="shared" si="22"/>
        <v>4.2043372531926575E-4</v>
      </c>
      <c r="L73" s="103"/>
    </row>
    <row r="74" spans="1:12" x14ac:dyDescent="0.25">
      <c r="A74" s="193"/>
      <c r="B74" s="194" t="s">
        <v>130</v>
      </c>
      <c r="C74" s="195">
        <v>0</v>
      </c>
      <c r="D74" s="195">
        <v>66</v>
      </c>
      <c r="E74" s="195">
        <v>84</v>
      </c>
      <c r="F74" s="195">
        <v>12</v>
      </c>
      <c r="G74" s="195">
        <v>181</v>
      </c>
      <c r="H74" s="195">
        <v>640</v>
      </c>
      <c r="I74" s="196">
        <f t="shared" si="21"/>
        <v>2.5359116022099446</v>
      </c>
      <c r="J74" s="195">
        <f t="shared" si="20"/>
        <v>459</v>
      </c>
      <c r="K74" s="196">
        <f t="shared" si="22"/>
        <v>2.2978444423939375E-4</v>
      </c>
      <c r="L74" s="103"/>
    </row>
    <row r="75" spans="1:12" x14ac:dyDescent="0.25">
      <c r="A75" s="193" t="s">
        <v>146</v>
      </c>
      <c r="B75" s="194" t="s">
        <v>133</v>
      </c>
      <c r="C75" s="195">
        <v>11</v>
      </c>
      <c r="D75" s="195">
        <v>78</v>
      </c>
      <c r="E75" s="195">
        <v>23</v>
      </c>
      <c r="F75" s="195">
        <v>24</v>
      </c>
      <c r="G75" s="195">
        <v>412</v>
      </c>
      <c r="H75" s="195">
        <v>185</v>
      </c>
      <c r="I75" s="196">
        <f t="shared" si="21"/>
        <v>-0.55097087378640774</v>
      </c>
      <c r="J75" s="195">
        <f t="shared" si="20"/>
        <v>-227</v>
      </c>
      <c r="K75" s="196">
        <f t="shared" si="22"/>
        <v>6.6422065912949749E-5</v>
      </c>
      <c r="L75" s="103"/>
    </row>
    <row r="76" spans="1:12" x14ac:dyDescent="0.25">
      <c r="A76" s="193" t="s">
        <v>147</v>
      </c>
      <c r="B76" s="199" t="s">
        <v>147</v>
      </c>
      <c r="C76" s="200">
        <f t="shared" ref="C76" si="23">C68-SUM(C69:C75)</f>
        <v>1038</v>
      </c>
      <c r="D76" s="200">
        <f t="shared" ref="D76:H76" si="24">D68-SUM(D69:D75)</f>
        <v>5605</v>
      </c>
      <c r="E76" s="200">
        <f t="shared" si="24"/>
        <v>20347</v>
      </c>
      <c r="F76" s="200">
        <f t="shared" si="24"/>
        <v>14008</v>
      </c>
      <c r="G76" s="200">
        <f t="shared" si="24"/>
        <v>14891</v>
      </c>
      <c r="H76" s="200">
        <f t="shared" si="24"/>
        <v>14984</v>
      </c>
      <c r="I76" s="201">
        <f t="shared" si="21"/>
        <v>6.2453831173192587E-3</v>
      </c>
      <c r="J76" s="200">
        <f>H76-G76</f>
        <v>93</v>
      </c>
      <c r="K76" s="201">
        <f t="shared" si="22"/>
        <v>5.3798283007548062E-3</v>
      </c>
      <c r="L76" s="103"/>
    </row>
    <row r="77" spans="1:12" s="177" customFormat="1" x14ac:dyDescent="0.25">
      <c r="A77" s="193"/>
      <c r="B77" s="186" t="s">
        <v>50</v>
      </c>
      <c r="C77" s="184"/>
      <c r="D77" s="184"/>
      <c r="E77" s="184"/>
      <c r="F77" s="184"/>
      <c r="G77" s="184"/>
      <c r="H77" s="184"/>
      <c r="I77" s="184"/>
      <c r="J77" s="184"/>
      <c r="K77" s="184"/>
    </row>
    <row r="78" spans="1:12" x14ac:dyDescent="0.25">
      <c r="A78" s="193"/>
      <c r="B78" s="187" t="s">
        <v>70</v>
      </c>
      <c r="C78" s="209">
        <v>80706</v>
      </c>
      <c r="D78" s="209">
        <v>281990</v>
      </c>
      <c r="E78" s="209">
        <v>378277</v>
      </c>
      <c r="F78" s="209">
        <v>441114</v>
      </c>
      <c r="G78" s="209">
        <v>489204</v>
      </c>
      <c r="H78" s="209">
        <v>455849</v>
      </c>
      <c r="I78" s="210">
        <f>IFERROR(H78/G78-1,"-")</f>
        <v>-6.8182189843091989E-2</v>
      </c>
      <c r="J78" s="209">
        <f>H78-G78</f>
        <v>-33355</v>
      </c>
      <c r="K78" s="210">
        <f>H78/H$8</f>
        <v>0.1636672017532553</v>
      </c>
      <c r="L78" s="103"/>
    </row>
    <row r="79" spans="1:12" x14ac:dyDescent="0.25">
      <c r="A79" s="193" t="s">
        <v>98</v>
      </c>
      <c r="B79" s="190" t="s">
        <v>99</v>
      </c>
      <c r="C79" s="191">
        <v>52265</v>
      </c>
      <c r="D79" s="191">
        <v>130958</v>
      </c>
      <c r="E79" s="191">
        <v>158091</v>
      </c>
      <c r="F79" s="191">
        <v>158021</v>
      </c>
      <c r="G79" s="191">
        <v>159761</v>
      </c>
      <c r="H79" s="191">
        <v>164576</v>
      </c>
      <c r="I79" s="192">
        <f>IFERROR(H79/G79-1,"-")</f>
        <v>3.0138769787369846E-2</v>
      </c>
      <c r="J79" s="191">
        <f t="shared" ref="J79:J89" si="25">H79-G79</f>
        <v>4815</v>
      </c>
      <c r="K79" s="192">
        <f>H79/H$8</f>
        <v>5.9089069836160101E-2</v>
      </c>
      <c r="L79" s="103"/>
    </row>
    <row r="80" spans="1:12" x14ac:dyDescent="0.25">
      <c r="A80" s="193" t="s">
        <v>105</v>
      </c>
      <c r="B80" s="194" t="s">
        <v>105</v>
      </c>
      <c r="C80" s="195">
        <v>7743</v>
      </c>
      <c r="D80" s="195">
        <v>23897</v>
      </c>
      <c r="E80" s="195">
        <v>19489</v>
      </c>
      <c r="F80" s="195">
        <v>30555</v>
      </c>
      <c r="G80" s="195">
        <v>22434</v>
      </c>
      <c r="H80" s="195">
        <v>23218</v>
      </c>
      <c r="I80" s="196">
        <f>IFERROR(H80/G80-1,"-")</f>
        <v>3.4946955513952105E-2</v>
      </c>
      <c r="J80" s="195">
        <f t="shared" si="25"/>
        <v>784</v>
      </c>
      <c r="K80" s="196">
        <f>H80/H$8</f>
        <v>8.336148791172256E-3</v>
      </c>
      <c r="L80" s="103"/>
    </row>
    <row r="81" spans="1:12" x14ac:dyDescent="0.25">
      <c r="A81" s="193" t="s">
        <v>102</v>
      </c>
      <c r="B81" s="194" t="s">
        <v>102</v>
      </c>
      <c r="C81" s="195">
        <v>44522</v>
      </c>
      <c r="D81" s="195">
        <v>107061</v>
      </c>
      <c r="E81" s="195">
        <v>138602</v>
      </c>
      <c r="F81" s="195">
        <v>127466</v>
      </c>
      <c r="G81" s="195">
        <v>137327</v>
      </c>
      <c r="H81" s="195">
        <v>141358</v>
      </c>
      <c r="I81" s="196">
        <f>IFERROR(H81/G81-1,"-")</f>
        <v>2.9353295418963476E-2</v>
      </c>
      <c r="J81" s="195">
        <f t="shared" si="25"/>
        <v>4031</v>
      </c>
      <c r="K81" s="196">
        <f>H81/H$8</f>
        <v>5.0752921044987846E-2</v>
      </c>
      <c r="L81" s="103"/>
    </row>
    <row r="82" spans="1:12" x14ac:dyDescent="0.25">
      <c r="A82" s="193"/>
      <c r="B82" s="190" t="s">
        <v>109</v>
      </c>
      <c r="C82" s="191">
        <v>28441</v>
      </c>
      <c r="D82" s="191">
        <v>151032</v>
      </c>
      <c r="E82" s="191">
        <v>220186</v>
      </c>
      <c r="F82" s="191">
        <v>283093</v>
      </c>
      <c r="G82" s="191">
        <v>329443</v>
      </c>
      <c r="H82" s="191">
        <v>291273</v>
      </c>
      <c r="I82" s="192">
        <f>IFERROR(H82/G82-1,"-")</f>
        <v>-0.11586222806373181</v>
      </c>
      <c r="J82" s="191">
        <f t="shared" si="25"/>
        <v>-38170</v>
      </c>
      <c r="K82" s="192">
        <f>H82/H$8</f>
        <v>0.10457813191709521</v>
      </c>
      <c r="L82" s="103"/>
    </row>
    <row r="83" spans="1:12" s="74" customFormat="1" x14ac:dyDescent="0.25">
      <c r="A83" s="193"/>
      <c r="B83" s="194" t="s">
        <v>112</v>
      </c>
      <c r="C83" s="195">
        <v>4342</v>
      </c>
      <c r="D83" s="195">
        <v>14420</v>
      </c>
      <c r="E83" s="195">
        <v>46875</v>
      </c>
      <c r="F83" s="195">
        <v>70200</v>
      </c>
      <c r="G83" s="195">
        <v>77720</v>
      </c>
      <c r="H83" s="195">
        <v>75421</v>
      </c>
      <c r="I83" s="196">
        <f t="shared" ref="I83:I90" si="26">IFERROR(H83/G83-1,"-")</f>
        <v>-2.9580545548121506E-2</v>
      </c>
      <c r="J83" s="195">
        <f t="shared" si="25"/>
        <v>-2299</v>
      </c>
      <c r="K83" s="196">
        <f t="shared" ref="K83:K90" si="27">H83/H$8</f>
        <v>2.7079019639030179E-2</v>
      </c>
      <c r="L83" s="197"/>
    </row>
    <row r="84" spans="1:12" s="74" customFormat="1" x14ac:dyDescent="0.25">
      <c r="A84" s="193"/>
      <c r="B84" s="194" t="s">
        <v>115</v>
      </c>
      <c r="C84" s="195">
        <v>4527</v>
      </c>
      <c r="D84" s="195">
        <v>60509</v>
      </c>
      <c r="E84" s="195">
        <v>81698</v>
      </c>
      <c r="F84" s="195">
        <v>87257</v>
      </c>
      <c r="G84" s="195">
        <v>95768</v>
      </c>
      <c r="H84" s="195">
        <v>82044</v>
      </c>
      <c r="I84" s="196">
        <f t="shared" si="26"/>
        <v>-0.14330465291120209</v>
      </c>
      <c r="J84" s="195">
        <f t="shared" si="25"/>
        <v>-13724</v>
      </c>
      <c r="K84" s="196">
        <f t="shared" si="27"/>
        <v>2.9456929598713783E-2</v>
      </c>
      <c r="L84" s="197"/>
    </row>
    <row r="85" spans="1:12" x14ac:dyDescent="0.25">
      <c r="A85" s="193"/>
      <c r="B85" s="194" t="s">
        <v>118</v>
      </c>
      <c r="C85" s="195">
        <v>1472</v>
      </c>
      <c r="D85" s="195">
        <v>12480</v>
      </c>
      <c r="E85" s="195">
        <v>16073</v>
      </c>
      <c r="F85" s="195">
        <v>25350</v>
      </c>
      <c r="G85" s="195">
        <v>32169</v>
      </c>
      <c r="H85" s="195">
        <v>28787</v>
      </c>
      <c r="I85" s="196">
        <f t="shared" si="26"/>
        <v>-0.10513227019801674</v>
      </c>
      <c r="J85" s="195">
        <f t="shared" si="25"/>
        <v>-3382</v>
      </c>
      <c r="K85" s="196">
        <f t="shared" si="27"/>
        <v>1.0335632494249106E-2</v>
      </c>
      <c r="L85" s="103"/>
    </row>
    <row r="86" spans="1:12" x14ac:dyDescent="0.25">
      <c r="A86" s="193"/>
      <c r="B86" s="194" t="s">
        <v>125</v>
      </c>
      <c r="C86" s="195">
        <v>396</v>
      </c>
      <c r="D86" s="195">
        <v>5141</v>
      </c>
      <c r="E86" s="195">
        <v>7103</v>
      </c>
      <c r="F86" s="195">
        <v>9989</v>
      </c>
      <c r="G86" s="195">
        <v>13011</v>
      </c>
      <c r="H86" s="195">
        <v>10330</v>
      </c>
      <c r="I86" s="196">
        <f t="shared" si="26"/>
        <v>-0.20605641380370454</v>
      </c>
      <c r="J86" s="195">
        <f t="shared" si="25"/>
        <v>-2681</v>
      </c>
      <c r="K86" s="196">
        <f t="shared" si="27"/>
        <v>3.7088645453014647E-3</v>
      </c>
      <c r="L86" s="103"/>
    </row>
    <row r="87" spans="1:12" x14ac:dyDescent="0.25">
      <c r="A87" s="193"/>
      <c r="B87" s="194" t="s">
        <v>121</v>
      </c>
      <c r="C87" s="195">
        <v>3461</v>
      </c>
      <c r="D87" s="195">
        <v>5611</v>
      </c>
      <c r="E87" s="195">
        <v>3064</v>
      </c>
      <c r="F87" s="195">
        <v>4673</v>
      </c>
      <c r="G87" s="195">
        <v>5487</v>
      </c>
      <c r="H87" s="195">
        <v>6915</v>
      </c>
      <c r="I87" s="196">
        <f t="shared" si="26"/>
        <v>0.26025150355385462</v>
      </c>
      <c r="J87" s="195">
        <f t="shared" si="25"/>
        <v>1428</v>
      </c>
      <c r="K87" s="196">
        <f t="shared" si="27"/>
        <v>2.4827491123678245E-3</v>
      </c>
      <c r="L87" s="103"/>
    </row>
    <row r="88" spans="1:12" x14ac:dyDescent="0.25">
      <c r="A88" s="193"/>
      <c r="B88" s="194" t="s">
        <v>130</v>
      </c>
      <c r="C88" s="195">
        <v>100</v>
      </c>
      <c r="D88" s="195">
        <v>707</v>
      </c>
      <c r="E88" s="195">
        <v>1619</v>
      </c>
      <c r="F88" s="195">
        <v>906</v>
      </c>
      <c r="G88" s="195">
        <v>1480</v>
      </c>
      <c r="H88" s="195">
        <v>1925</v>
      </c>
      <c r="I88" s="196">
        <f t="shared" si="26"/>
        <v>0.30067567567567566</v>
      </c>
      <c r="J88" s="195">
        <f t="shared" si="25"/>
        <v>445</v>
      </c>
      <c r="K88" s="196">
        <f t="shared" si="27"/>
        <v>6.9114852368880146E-4</v>
      </c>
      <c r="L88" s="103"/>
    </row>
    <row r="89" spans="1:12" x14ac:dyDescent="0.25">
      <c r="A89" s="193" t="s">
        <v>146</v>
      </c>
      <c r="B89" s="194" t="s">
        <v>133</v>
      </c>
      <c r="C89" s="195">
        <v>134</v>
      </c>
      <c r="D89" s="195">
        <v>591</v>
      </c>
      <c r="E89" s="195">
        <v>876</v>
      </c>
      <c r="F89" s="195">
        <v>677</v>
      </c>
      <c r="G89" s="195">
        <v>1644</v>
      </c>
      <c r="H89" s="195">
        <v>505</v>
      </c>
      <c r="I89" s="196">
        <f t="shared" si="26"/>
        <v>-0.69282238442822386</v>
      </c>
      <c r="J89" s="195">
        <f t="shared" si="25"/>
        <v>-1139</v>
      </c>
      <c r="K89" s="196">
        <f t="shared" si="27"/>
        <v>1.8131428803264664E-4</v>
      </c>
      <c r="L89" s="103"/>
    </row>
    <row r="90" spans="1:12" x14ac:dyDescent="0.25">
      <c r="A90" s="193" t="s">
        <v>147</v>
      </c>
      <c r="B90" s="199" t="s">
        <v>147</v>
      </c>
      <c r="C90" s="200">
        <f t="shared" ref="C90" si="28">C82-SUM(C83:C89)</f>
        <v>14009</v>
      </c>
      <c r="D90" s="200">
        <f t="shared" ref="D90:H90" si="29">D82-SUM(D83:D89)</f>
        <v>51573</v>
      </c>
      <c r="E90" s="200">
        <f t="shared" si="29"/>
        <v>62878</v>
      </c>
      <c r="F90" s="200">
        <f t="shared" si="29"/>
        <v>84041</v>
      </c>
      <c r="G90" s="200">
        <f t="shared" si="29"/>
        <v>102164</v>
      </c>
      <c r="H90" s="200">
        <f t="shared" si="29"/>
        <v>85346</v>
      </c>
      <c r="I90" s="201">
        <f t="shared" si="26"/>
        <v>-0.16461767354449708</v>
      </c>
      <c r="J90" s="200">
        <f>H90-G90</f>
        <v>-16818</v>
      </c>
      <c r="K90" s="201">
        <f t="shared" si="27"/>
        <v>3.0642473715711403E-2</v>
      </c>
      <c r="L90" s="103"/>
    </row>
    <row r="91" spans="1:12" s="177" customFormat="1" x14ac:dyDescent="0.25">
      <c r="A91" s="193"/>
      <c r="B91" s="186" t="s">
        <v>51</v>
      </c>
      <c r="C91" s="184"/>
      <c r="D91" s="184"/>
      <c r="E91" s="184"/>
      <c r="F91" s="184"/>
      <c r="G91" s="184"/>
      <c r="H91" s="184"/>
      <c r="I91" s="184"/>
      <c r="J91" s="184"/>
      <c r="K91" s="184"/>
    </row>
    <row r="92" spans="1:12" x14ac:dyDescent="0.25">
      <c r="A92" s="193"/>
      <c r="B92" s="187" t="s">
        <v>70</v>
      </c>
      <c r="C92" s="209">
        <v>3767</v>
      </c>
      <c r="D92" s="209">
        <v>9600</v>
      </c>
      <c r="E92" s="209">
        <v>10967</v>
      </c>
      <c r="F92" s="209">
        <v>10606</v>
      </c>
      <c r="G92" s="209">
        <v>11345</v>
      </c>
      <c r="H92" s="209">
        <v>10902</v>
      </c>
      <c r="I92" s="210">
        <f>IFERROR(H92/G92-1,"-")</f>
        <v>-3.9048038783605077E-2</v>
      </c>
      <c r="J92" s="209">
        <f>H92-G92</f>
        <v>-443</v>
      </c>
      <c r="K92" s="210">
        <f>H92/H$8</f>
        <v>3.9142343923404231E-3</v>
      </c>
      <c r="L92" s="103"/>
    </row>
    <row r="93" spans="1:12" x14ac:dyDescent="0.25">
      <c r="A93" s="193" t="s">
        <v>98</v>
      </c>
      <c r="B93" s="190" t="s">
        <v>99</v>
      </c>
      <c r="C93" s="191">
        <v>3075</v>
      </c>
      <c r="D93" s="191">
        <v>6546</v>
      </c>
      <c r="E93" s="191">
        <v>6733</v>
      </c>
      <c r="F93" s="191">
        <v>6420</v>
      </c>
      <c r="G93" s="191">
        <v>7407</v>
      </c>
      <c r="H93" s="191">
        <v>6574</v>
      </c>
      <c r="I93" s="192">
        <f>IFERROR(H93/G93-1,"-")</f>
        <v>-0.11246118536519512</v>
      </c>
      <c r="J93" s="191">
        <f t="shared" ref="J93:J103" si="30">H93-G93</f>
        <v>-833</v>
      </c>
      <c r="K93" s="192">
        <f>H93/H$8</f>
        <v>2.3603170881715224E-3</v>
      </c>
      <c r="L93" s="103"/>
    </row>
    <row r="94" spans="1:12" x14ac:dyDescent="0.25">
      <c r="A94" s="193" t="s">
        <v>105</v>
      </c>
      <c r="B94" s="194" t="s">
        <v>105</v>
      </c>
      <c r="C94" s="195">
        <v>1308</v>
      </c>
      <c r="D94" s="195">
        <v>3089</v>
      </c>
      <c r="E94" s="195">
        <v>2812</v>
      </c>
      <c r="F94" s="195">
        <v>1528</v>
      </c>
      <c r="G94" s="195">
        <v>2671</v>
      </c>
      <c r="H94" s="195">
        <v>1808</v>
      </c>
      <c r="I94" s="196">
        <f>IFERROR(H94/G94-1,"-")</f>
        <v>-0.32309996256083862</v>
      </c>
      <c r="J94" s="195">
        <f t="shared" si="30"/>
        <v>-863</v>
      </c>
      <c r="K94" s="196">
        <f>H94/H$8</f>
        <v>6.491410549762873E-4</v>
      </c>
      <c r="L94" s="103"/>
    </row>
    <row r="95" spans="1:12" x14ac:dyDescent="0.25">
      <c r="A95" s="193" t="s">
        <v>102</v>
      </c>
      <c r="B95" s="194" t="s">
        <v>102</v>
      </c>
      <c r="C95" s="195">
        <v>1767</v>
      </c>
      <c r="D95" s="195">
        <v>3457</v>
      </c>
      <c r="E95" s="195">
        <v>3921</v>
      </c>
      <c r="F95" s="195">
        <v>4892</v>
      </c>
      <c r="G95" s="195">
        <v>4736</v>
      </c>
      <c r="H95" s="195">
        <v>4766</v>
      </c>
      <c r="I95" s="196">
        <f>IFERROR(H95/G95-1,"-")</f>
        <v>6.3344594594594295E-3</v>
      </c>
      <c r="J95" s="195">
        <f t="shared" si="30"/>
        <v>30</v>
      </c>
      <c r="K95" s="196">
        <f>H95/H$8</f>
        <v>1.7111760331952352E-3</v>
      </c>
      <c r="L95" s="103"/>
    </row>
    <row r="96" spans="1:12" x14ac:dyDescent="0.25">
      <c r="A96" s="193"/>
      <c r="B96" s="190" t="s">
        <v>109</v>
      </c>
      <c r="C96" s="191">
        <v>692</v>
      </c>
      <c r="D96" s="191">
        <v>3054</v>
      </c>
      <c r="E96" s="191">
        <v>4234</v>
      </c>
      <c r="F96" s="191">
        <v>4186</v>
      </c>
      <c r="G96" s="191">
        <v>3938</v>
      </c>
      <c r="H96" s="191">
        <v>4328</v>
      </c>
      <c r="I96" s="192">
        <f>IFERROR(H96/G96-1,"-")</f>
        <v>9.9035043169121373E-2</v>
      </c>
      <c r="J96" s="191">
        <f t="shared" si="30"/>
        <v>390</v>
      </c>
      <c r="K96" s="192">
        <f>H96/H$8</f>
        <v>1.5539173041689003E-3</v>
      </c>
      <c r="L96" s="103"/>
    </row>
    <row r="97" spans="1:12" s="74" customFormat="1" x14ac:dyDescent="0.25">
      <c r="A97" s="193"/>
      <c r="B97" s="194" t="s">
        <v>112</v>
      </c>
      <c r="C97" s="195">
        <v>42</v>
      </c>
      <c r="D97" s="195">
        <v>273</v>
      </c>
      <c r="E97" s="195">
        <v>722</v>
      </c>
      <c r="F97" s="195">
        <v>664</v>
      </c>
      <c r="G97" s="195">
        <v>519</v>
      </c>
      <c r="H97" s="195">
        <v>478</v>
      </c>
      <c r="I97" s="196">
        <f t="shared" ref="I97:I104" si="31">IFERROR(H97/G97-1,"-")</f>
        <v>-7.899807321772645E-2</v>
      </c>
      <c r="J97" s="195">
        <f t="shared" si="30"/>
        <v>-41</v>
      </c>
      <c r="K97" s="196">
        <f t="shared" ref="K97:K104" si="32">H97/H$8</f>
        <v>1.716202567912972E-4</v>
      </c>
      <c r="L97" s="197"/>
    </row>
    <row r="98" spans="1:12" s="74" customFormat="1" x14ac:dyDescent="0.25">
      <c r="A98" s="193"/>
      <c r="B98" s="194" t="s">
        <v>115</v>
      </c>
      <c r="C98" s="195">
        <v>72</v>
      </c>
      <c r="D98" s="195">
        <v>1236</v>
      </c>
      <c r="E98" s="195">
        <v>1386</v>
      </c>
      <c r="F98" s="195">
        <v>1288</v>
      </c>
      <c r="G98" s="195">
        <v>1311</v>
      </c>
      <c r="H98" s="195">
        <v>1165</v>
      </c>
      <c r="I98" s="196">
        <f t="shared" si="31"/>
        <v>-0.11136536994660562</v>
      </c>
      <c r="J98" s="195">
        <f t="shared" si="30"/>
        <v>-146</v>
      </c>
      <c r="K98" s="196">
        <f t="shared" si="32"/>
        <v>4.1827949615452141E-4</v>
      </c>
      <c r="L98" s="197"/>
    </row>
    <row r="99" spans="1:12" x14ac:dyDescent="0.25">
      <c r="A99" s="193"/>
      <c r="B99" s="194" t="s">
        <v>118</v>
      </c>
      <c r="C99" s="195">
        <v>104</v>
      </c>
      <c r="D99" s="195">
        <v>357</v>
      </c>
      <c r="E99" s="195">
        <v>390</v>
      </c>
      <c r="F99" s="195">
        <v>486</v>
      </c>
      <c r="G99" s="195">
        <v>421</v>
      </c>
      <c r="H99" s="195">
        <v>610</v>
      </c>
      <c r="I99" s="196">
        <f t="shared" si="31"/>
        <v>0.44893111638954863</v>
      </c>
      <c r="J99" s="195">
        <f t="shared" si="30"/>
        <v>189</v>
      </c>
      <c r="K99" s="196">
        <f t="shared" si="32"/>
        <v>2.1901329841567216E-4</v>
      </c>
      <c r="L99" s="103"/>
    </row>
    <row r="100" spans="1:12" x14ac:dyDescent="0.25">
      <c r="A100" s="193"/>
      <c r="B100" s="194" t="s">
        <v>125</v>
      </c>
      <c r="C100" s="195">
        <v>6</v>
      </c>
      <c r="D100" s="195">
        <v>243</v>
      </c>
      <c r="E100" s="195">
        <v>333</v>
      </c>
      <c r="F100" s="195">
        <v>194</v>
      </c>
      <c r="G100" s="195">
        <v>121</v>
      </c>
      <c r="H100" s="195">
        <v>95</v>
      </c>
      <c r="I100" s="196">
        <f t="shared" si="31"/>
        <v>-0.21487603305785119</v>
      </c>
      <c r="J100" s="195">
        <f t="shared" si="30"/>
        <v>-26</v>
      </c>
      <c r="K100" s="196">
        <f t="shared" si="32"/>
        <v>3.4108628441785006E-5</v>
      </c>
      <c r="L100" s="103"/>
    </row>
    <row r="101" spans="1:12" x14ac:dyDescent="0.25">
      <c r="A101" s="193"/>
      <c r="B101" s="194" t="s">
        <v>121</v>
      </c>
      <c r="C101" s="195">
        <v>86</v>
      </c>
      <c r="D101" s="195">
        <v>72</v>
      </c>
      <c r="E101" s="195">
        <v>117</v>
      </c>
      <c r="F101" s="195">
        <v>120</v>
      </c>
      <c r="G101" s="195">
        <v>158</v>
      </c>
      <c r="H101" s="195">
        <v>143</v>
      </c>
      <c r="I101" s="196">
        <f t="shared" si="31"/>
        <v>-9.4936708860759444E-2</v>
      </c>
      <c r="J101" s="195">
        <f t="shared" si="30"/>
        <v>-15</v>
      </c>
      <c r="K101" s="196">
        <f t="shared" si="32"/>
        <v>5.1342461759739539E-5</v>
      </c>
      <c r="L101" s="103"/>
    </row>
    <row r="102" spans="1:12" x14ac:dyDescent="0.25">
      <c r="A102" s="193"/>
      <c r="B102" s="194" t="s">
        <v>130</v>
      </c>
      <c r="C102" s="195">
        <v>2</v>
      </c>
      <c r="D102" s="195">
        <v>1</v>
      </c>
      <c r="E102" s="195">
        <v>27</v>
      </c>
      <c r="F102" s="195">
        <v>14</v>
      </c>
      <c r="G102" s="195">
        <v>36</v>
      </c>
      <c r="H102" s="195">
        <v>8</v>
      </c>
      <c r="I102" s="196">
        <f t="shared" si="31"/>
        <v>-0.77777777777777779</v>
      </c>
      <c r="J102" s="195">
        <f t="shared" si="30"/>
        <v>-28</v>
      </c>
      <c r="K102" s="196">
        <f t="shared" si="32"/>
        <v>2.8723055529924217E-6</v>
      </c>
      <c r="L102" s="103"/>
    </row>
    <row r="103" spans="1:12" x14ac:dyDescent="0.25">
      <c r="A103" s="193" t="s">
        <v>146</v>
      </c>
      <c r="B103" s="194" t="s">
        <v>133</v>
      </c>
      <c r="C103" s="195">
        <v>6</v>
      </c>
      <c r="D103" s="195">
        <v>17</v>
      </c>
      <c r="E103" s="195">
        <v>8</v>
      </c>
      <c r="F103" s="195">
        <v>40</v>
      </c>
      <c r="G103" s="195">
        <v>24</v>
      </c>
      <c r="H103" s="195">
        <v>22</v>
      </c>
      <c r="I103" s="196">
        <f t="shared" si="31"/>
        <v>-8.333333333333337E-2</v>
      </c>
      <c r="J103" s="195">
        <f t="shared" si="30"/>
        <v>-2</v>
      </c>
      <c r="K103" s="196">
        <f t="shared" si="32"/>
        <v>7.8988402707291593E-6</v>
      </c>
      <c r="L103" s="103"/>
    </row>
    <row r="104" spans="1:12" x14ac:dyDescent="0.25">
      <c r="A104" s="193" t="s">
        <v>147</v>
      </c>
      <c r="B104" s="199" t="s">
        <v>147</v>
      </c>
      <c r="C104" s="200">
        <f t="shared" ref="C104" si="33">C96-SUM(C97:C103)</f>
        <v>374</v>
      </c>
      <c r="D104" s="200">
        <f t="shared" ref="D104:H104" si="34">D96-SUM(D97:D103)</f>
        <v>855</v>
      </c>
      <c r="E104" s="200">
        <f t="shared" si="34"/>
        <v>1251</v>
      </c>
      <c r="F104" s="200">
        <f t="shared" si="34"/>
        <v>1380</v>
      </c>
      <c r="G104" s="200">
        <f t="shared" si="34"/>
        <v>1348</v>
      </c>
      <c r="H104" s="200">
        <f t="shared" si="34"/>
        <v>1807</v>
      </c>
      <c r="I104" s="201">
        <f t="shared" si="31"/>
        <v>0.34050445103857574</v>
      </c>
      <c r="J104" s="200">
        <f>H104-G104</f>
        <v>459</v>
      </c>
      <c r="K104" s="201">
        <f t="shared" si="32"/>
        <v>6.4878201678216332E-4</v>
      </c>
      <c r="L104" s="103"/>
    </row>
    <row r="105" spans="1:12" s="177" customFormat="1" x14ac:dyDescent="0.25">
      <c r="A105" s="193"/>
      <c r="B105" s="186" t="s">
        <v>52</v>
      </c>
      <c r="C105" s="184"/>
      <c r="D105" s="184"/>
      <c r="E105" s="184"/>
      <c r="F105" s="184"/>
      <c r="G105" s="184"/>
      <c r="H105" s="184"/>
      <c r="I105" s="184"/>
      <c r="J105" s="184"/>
      <c r="K105" s="184"/>
    </row>
    <row r="106" spans="1:12" x14ac:dyDescent="0.25">
      <c r="A106" s="193"/>
      <c r="B106" s="187" t="s">
        <v>70</v>
      </c>
      <c r="C106" s="209">
        <v>50300</v>
      </c>
      <c r="D106" s="209">
        <v>89465</v>
      </c>
      <c r="E106" s="209">
        <v>107425</v>
      </c>
      <c r="F106" s="209">
        <v>125237</v>
      </c>
      <c r="G106" s="209">
        <v>124231</v>
      </c>
      <c r="H106" s="209">
        <v>107287</v>
      </c>
      <c r="I106" s="210">
        <f>IFERROR(H106/G106-1,"-")</f>
        <v>-0.13639107791131033</v>
      </c>
      <c r="J106" s="209">
        <f>H106-G106</f>
        <v>-16944</v>
      </c>
      <c r="K106" s="210">
        <f>H106/H$8</f>
        <v>3.8520130732987247E-2</v>
      </c>
      <c r="L106" s="103"/>
    </row>
    <row r="107" spans="1:12" x14ac:dyDescent="0.25">
      <c r="A107" s="193" t="s">
        <v>98</v>
      </c>
      <c r="B107" s="190" t="s">
        <v>99</v>
      </c>
      <c r="C107" s="191">
        <v>30000</v>
      </c>
      <c r="D107" s="191">
        <v>26545</v>
      </c>
      <c r="E107" s="191">
        <v>22910</v>
      </c>
      <c r="F107" s="191">
        <v>24058</v>
      </c>
      <c r="G107" s="191">
        <v>21808</v>
      </c>
      <c r="H107" s="191">
        <v>23556</v>
      </c>
      <c r="I107" s="192">
        <f>IFERROR(H107/G107-1,"-")</f>
        <v>8.0154071900220059E-2</v>
      </c>
      <c r="J107" s="191">
        <f t="shared" ref="J107:J117" si="35">H107-G107</f>
        <v>1748</v>
      </c>
      <c r="K107" s="192">
        <f>H107/H$8</f>
        <v>8.4575037007861859E-3</v>
      </c>
      <c r="L107" s="103"/>
    </row>
    <row r="108" spans="1:12" x14ac:dyDescent="0.25">
      <c r="A108" s="193" t="s">
        <v>105</v>
      </c>
      <c r="B108" s="194" t="s">
        <v>105</v>
      </c>
      <c r="C108" s="195">
        <v>693</v>
      </c>
      <c r="D108" s="195">
        <v>13255</v>
      </c>
      <c r="E108" s="195">
        <v>5185</v>
      </c>
      <c r="F108" s="195">
        <v>6653</v>
      </c>
      <c r="G108" s="195">
        <v>7095</v>
      </c>
      <c r="H108" s="195">
        <v>8225</v>
      </c>
      <c r="I108" s="196">
        <f>IFERROR(H108/G108-1,"-")</f>
        <v>0.15926708949964774</v>
      </c>
      <c r="J108" s="195">
        <f t="shared" si="35"/>
        <v>1130</v>
      </c>
      <c r="K108" s="196">
        <f>H108/H$8</f>
        <v>2.9530891466703338E-3</v>
      </c>
      <c r="L108" s="103"/>
    </row>
    <row r="109" spans="1:12" x14ac:dyDescent="0.25">
      <c r="A109" s="193" t="s">
        <v>102</v>
      </c>
      <c r="B109" s="194" t="s">
        <v>102</v>
      </c>
      <c r="C109" s="195">
        <v>29307</v>
      </c>
      <c r="D109" s="195">
        <v>13290</v>
      </c>
      <c r="E109" s="195">
        <v>17725</v>
      </c>
      <c r="F109" s="195">
        <v>17405</v>
      </c>
      <c r="G109" s="195">
        <v>14713</v>
      </c>
      <c r="H109" s="195">
        <v>15331</v>
      </c>
      <c r="I109" s="196">
        <f>IFERROR(H109/G109-1,"-")</f>
        <v>4.2003670223611733E-2</v>
      </c>
      <c r="J109" s="195">
        <f t="shared" si="35"/>
        <v>618</v>
      </c>
      <c r="K109" s="196">
        <f>H109/H$8</f>
        <v>5.5044145541158522E-3</v>
      </c>
      <c r="L109" s="103"/>
    </row>
    <row r="110" spans="1:12" x14ac:dyDescent="0.25">
      <c r="A110" s="193"/>
      <c r="B110" s="190" t="s">
        <v>109</v>
      </c>
      <c r="C110" s="191">
        <v>20300</v>
      </c>
      <c r="D110" s="191">
        <v>62920</v>
      </c>
      <c r="E110" s="191">
        <v>84515</v>
      </c>
      <c r="F110" s="191">
        <v>101179</v>
      </c>
      <c r="G110" s="191">
        <v>102423</v>
      </c>
      <c r="H110" s="191">
        <v>83731</v>
      </c>
      <c r="I110" s="192">
        <f>IFERROR(H110/G110-1,"-")</f>
        <v>-0.18249807172217181</v>
      </c>
      <c r="J110" s="191">
        <f t="shared" si="35"/>
        <v>-18692</v>
      </c>
      <c r="K110" s="192">
        <f>H110/H$8</f>
        <v>3.0062627032201059E-2</v>
      </c>
      <c r="L110" s="103"/>
    </row>
    <row r="111" spans="1:12" s="74" customFormat="1" x14ac:dyDescent="0.25">
      <c r="A111" s="193"/>
      <c r="B111" s="194" t="s">
        <v>112</v>
      </c>
      <c r="C111" s="195">
        <v>4379</v>
      </c>
      <c r="D111" s="195">
        <v>31305</v>
      </c>
      <c r="E111" s="195">
        <v>57053</v>
      </c>
      <c r="F111" s="195">
        <v>72566</v>
      </c>
      <c r="G111" s="195">
        <v>69731</v>
      </c>
      <c r="H111" s="195">
        <v>55657</v>
      </c>
      <c r="I111" s="196">
        <f t="shared" ref="I111:I118" si="36">IFERROR(H111/G111-1,"-")</f>
        <v>-0.20183275731023509</v>
      </c>
      <c r="J111" s="195">
        <f t="shared" si="35"/>
        <v>-14074</v>
      </c>
      <c r="K111" s="196">
        <f t="shared" ref="K111:K118" si="37">H111/H$8</f>
        <v>1.9982988770362402E-2</v>
      </c>
      <c r="L111" s="197"/>
    </row>
    <row r="112" spans="1:12" s="74" customFormat="1" x14ac:dyDescent="0.25">
      <c r="A112" s="193"/>
      <c r="B112" s="194" t="s">
        <v>115</v>
      </c>
      <c r="C112" s="195">
        <v>1124</v>
      </c>
      <c r="D112" s="195">
        <v>4152</v>
      </c>
      <c r="E112" s="195">
        <v>1957</v>
      </c>
      <c r="F112" s="195">
        <v>3736</v>
      </c>
      <c r="G112" s="195">
        <v>3728</v>
      </c>
      <c r="H112" s="195">
        <v>3957</v>
      </c>
      <c r="I112" s="196">
        <f t="shared" si="36"/>
        <v>6.1427038626609365E-2</v>
      </c>
      <c r="J112" s="195">
        <f t="shared" si="35"/>
        <v>229</v>
      </c>
      <c r="K112" s="196">
        <f t="shared" si="37"/>
        <v>1.4207141341488767E-3</v>
      </c>
      <c r="L112" s="197"/>
    </row>
    <row r="113" spans="1:12" x14ac:dyDescent="0.25">
      <c r="A113" s="193"/>
      <c r="B113" s="194" t="s">
        <v>118</v>
      </c>
      <c r="C113" s="195">
        <v>1599</v>
      </c>
      <c r="D113" s="195">
        <v>7466</v>
      </c>
      <c r="E113" s="195">
        <v>6027</v>
      </c>
      <c r="F113" s="195">
        <v>5100</v>
      </c>
      <c r="G113" s="195">
        <v>7942</v>
      </c>
      <c r="H113" s="195">
        <v>5805</v>
      </c>
      <c r="I113" s="196">
        <f t="shared" si="36"/>
        <v>-0.26907579954671368</v>
      </c>
      <c r="J113" s="195">
        <f t="shared" si="35"/>
        <v>-2137</v>
      </c>
      <c r="K113" s="196">
        <f t="shared" si="37"/>
        <v>2.0842167168901261E-3</v>
      </c>
      <c r="L113" s="103"/>
    </row>
    <row r="114" spans="1:12" x14ac:dyDescent="0.25">
      <c r="A114" s="193"/>
      <c r="B114" s="194" t="s">
        <v>125</v>
      </c>
      <c r="C114" s="195">
        <v>184</v>
      </c>
      <c r="D114" s="195">
        <v>4776</v>
      </c>
      <c r="E114" s="195">
        <v>3035</v>
      </c>
      <c r="F114" s="195">
        <v>3026</v>
      </c>
      <c r="G114" s="195">
        <v>2654</v>
      </c>
      <c r="H114" s="195">
        <v>3742</v>
      </c>
      <c r="I114" s="196">
        <f t="shared" si="36"/>
        <v>0.40994724943481531</v>
      </c>
      <c r="J114" s="195">
        <f t="shared" si="35"/>
        <v>1088</v>
      </c>
      <c r="K114" s="196">
        <f t="shared" si="37"/>
        <v>1.3435209224122054E-3</v>
      </c>
      <c r="L114" s="103"/>
    </row>
    <row r="115" spans="1:12" x14ac:dyDescent="0.25">
      <c r="A115" s="193"/>
      <c r="B115" s="194" t="s">
        <v>121</v>
      </c>
      <c r="C115" s="195">
        <v>8307</v>
      </c>
      <c r="D115" s="195">
        <v>4691</v>
      </c>
      <c r="E115" s="195">
        <v>2964</v>
      </c>
      <c r="F115" s="195">
        <v>2896</v>
      </c>
      <c r="G115" s="195">
        <v>2306</v>
      </c>
      <c r="H115" s="195">
        <v>1652</v>
      </c>
      <c r="I115" s="196">
        <f t="shared" si="36"/>
        <v>-0.28360797918473546</v>
      </c>
      <c r="J115" s="195">
        <f t="shared" si="35"/>
        <v>-654</v>
      </c>
      <c r="K115" s="196">
        <f t="shared" si="37"/>
        <v>5.9313109669293512E-4</v>
      </c>
      <c r="L115" s="103"/>
    </row>
    <row r="116" spans="1:12" x14ac:dyDescent="0.25">
      <c r="A116" s="193"/>
      <c r="B116" s="194" t="s">
        <v>130</v>
      </c>
      <c r="C116" s="195">
        <v>49</v>
      </c>
      <c r="D116" s="195">
        <v>59</v>
      </c>
      <c r="E116" s="195">
        <v>93</v>
      </c>
      <c r="F116" s="195">
        <v>219</v>
      </c>
      <c r="G116" s="195">
        <v>25</v>
      </c>
      <c r="H116" s="195">
        <v>79</v>
      </c>
      <c r="I116" s="196">
        <f t="shared" si="36"/>
        <v>2.16</v>
      </c>
      <c r="J116" s="195">
        <f t="shared" si="35"/>
        <v>54</v>
      </c>
      <c r="K116" s="196">
        <f t="shared" si="37"/>
        <v>2.8364017335800165E-5</v>
      </c>
      <c r="L116" s="103"/>
    </row>
    <row r="117" spans="1:12" x14ac:dyDescent="0.25">
      <c r="A117" s="193" t="s">
        <v>146</v>
      </c>
      <c r="B117" s="194" t="s">
        <v>133</v>
      </c>
      <c r="C117" s="195">
        <v>32</v>
      </c>
      <c r="D117" s="195">
        <v>64</v>
      </c>
      <c r="E117" s="195">
        <v>81</v>
      </c>
      <c r="F117" s="195">
        <v>111</v>
      </c>
      <c r="G117" s="195">
        <v>22</v>
      </c>
      <c r="H117" s="195">
        <v>80</v>
      </c>
      <c r="I117" s="196">
        <f t="shared" si="36"/>
        <v>2.6363636363636362</v>
      </c>
      <c r="J117" s="195">
        <f t="shared" si="35"/>
        <v>58</v>
      </c>
      <c r="K117" s="196">
        <f t="shared" si="37"/>
        <v>2.8723055529924218E-5</v>
      </c>
      <c r="L117" s="103"/>
    </row>
    <row r="118" spans="1:12" x14ac:dyDescent="0.25">
      <c r="A118" s="193" t="s">
        <v>147</v>
      </c>
      <c r="B118" s="199" t="s">
        <v>147</v>
      </c>
      <c r="C118" s="200">
        <f t="shared" ref="C118" si="38">C110-SUM(C111:C117)</f>
        <v>4626</v>
      </c>
      <c r="D118" s="200">
        <f t="shared" ref="D118:H118" si="39">D110-SUM(D111:D117)</f>
        <v>10407</v>
      </c>
      <c r="E118" s="200">
        <f t="shared" si="39"/>
        <v>13305</v>
      </c>
      <c r="F118" s="200">
        <f t="shared" si="39"/>
        <v>13525</v>
      </c>
      <c r="G118" s="200">
        <f t="shared" si="39"/>
        <v>16015</v>
      </c>
      <c r="H118" s="200">
        <f t="shared" si="39"/>
        <v>12759</v>
      </c>
      <c r="I118" s="201">
        <f t="shared" si="36"/>
        <v>-0.20330939743990006</v>
      </c>
      <c r="J118" s="200">
        <f>H118-G118</f>
        <v>-3256</v>
      </c>
      <c r="K118" s="201">
        <f t="shared" si="37"/>
        <v>4.5809683188287884E-3</v>
      </c>
      <c r="L118" s="103"/>
    </row>
    <row r="119" spans="1:12" s="177" customFormat="1" x14ac:dyDescent="0.25">
      <c r="A119" s="193"/>
      <c r="B119" s="186" t="s">
        <v>53</v>
      </c>
      <c r="C119" s="184"/>
      <c r="D119" s="184"/>
      <c r="E119" s="184"/>
      <c r="F119" s="184"/>
      <c r="G119" s="184"/>
      <c r="H119" s="184"/>
      <c r="I119" s="184"/>
      <c r="J119" s="184"/>
      <c r="K119" s="184"/>
    </row>
    <row r="120" spans="1:12" x14ac:dyDescent="0.25">
      <c r="A120" s="193"/>
      <c r="B120" s="187" t="s">
        <v>70</v>
      </c>
      <c r="C120" s="209">
        <v>14501</v>
      </c>
      <c r="D120" s="209">
        <v>36202</v>
      </c>
      <c r="E120" s="209">
        <v>42224</v>
      </c>
      <c r="F120" s="209">
        <v>40151</v>
      </c>
      <c r="G120" s="209">
        <v>43154</v>
      </c>
      <c r="H120" s="209">
        <v>47691</v>
      </c>
      <c r="I120" s="210">
        <f>IFERROR(H120/G120-1,"-")</f>
        <v>0.10513509755758443</v>
      </c>
      <c r="J120" s="209">
        <f>H120-G120</f>
        <v>4537</v>
      </c>
      <c r="K120" s="210">
        <f>H120/H$8</f>
        <v>1.7122890515970199E-2</v>
      </c>
      <c r="L120" s="103"/>
    </row>
    <row r="121" spans="1:12" x14ac:dyDescent="0.25">
      <c r="A121" s="193" t="s">
        <v>98</v>
      </c>
      <c r="B121" s="190" t="s">
        <v>99</v>
      </c>
      <c r="C121" s="191">
        <v>9944</v>
      </c>
      <c r="D121" s="191">
        <v>22567</v>
      </c>
      <c r="E121" s="191">
        <v>24548</v>
      </c>
      <c r="F121" s="191">
        <v>23087</v>
      </c>
      <c r="G121" s="191">
        <v>27092</v>
      </c>
      <c r="H121" s="191">
        <v>30146</v>
      </c>
      <c r="I121" s="192">
        <f>IFERROR(H121/G121-1,"-")</f>
        <v>0.11272700428170679</v>
      </c>
      <c r="J121" s="191">
        <f t="shared" ref="J121:J131" si="40">H121-G121</f>
        <v>3054</v>
      </c>
      <c r="K121" s="192">
        <f>H121/H$8</f>
        <v>1.0823565400063693E-2</v>
      </c>
      <c r="L121" s="103"/>
    </row>
    <row r="122" spans="1:12" x14ac:dyDescent="0.25">
      <c r="A122" s="193" t="s">
        <v>105</v>
      </c>
      <c r="B122" s="194" t="s">
        <v>105</v>
      </c>
      <c r="C122" s="195">
        <v>2854</v>
      </c>
      <c r="D122" s="195">
        <v>9766</v>
      </c>
      <c r="E122" s="195">
        <v>11498</v>
      </c>
      <c r="F122" s="195">
        <v>7357</v>
      </c>
      <c r="G122" s="195">
        <v>13491</v>
      </c>
      <c r="H122" s="195">
        <v>13529</v>
      </c>
      <c r="I122" s="196">
        <f>IFERROR(H122/G122-1,"-")</f>
        <v>2.8166926098880385E-3</v>
      </c>
      <c r="J122" s="195">
        <f t="shared" si="40"/>
        <v>38</v>
      </c>
      <c r="K122" s="196">
        <f>H122/H$8</f>
        <v>4.8574277283043093E-3</v>
      </c>
      <c r="L122" s="103"/>
    </row>
    <row r="123" spans="1:12" x14ac:dyDescent="0.25">
      <c r="A123" s="193" t="s">
        <v>102</v>
      </c>
      <c r="B123" s="194" t="s">
        <v>102</v>
      </c>
      <c r="C123" s="195">
        <v>7090</v>
      </c>
      <c r="D123" s="195">
        <v>12801</v>
      </c>
      <c r="E123" s="195">
        <v>13050</v>
      </c>
      <c r="F123" s="195">
        <v>15730</v>
      </c>
      <c r="G123" s="195">
        <v>13601</v>
      </c>
      <c r="H123" s="195">
        <v>16617</v>
      </c>
      <c r="I123" s="196">
        <f>IFERROR(H123/G123-1,"-")</f>
        <v>0.2217484008528785</v>
      </c>
      <c r="J123" s="195">
        <f t="shared" si="40"/>
        <v>3016</v>
      </c>
      <c r="K123" s="196">
        <f>H123/H$8</f>
        <v>5.9661376717593841E-3</v>
      </c>
      <c r="L123" s="103"/>
    </row>
    <row r="124" spans="1:12" x14ac:dyDescent="0.25">
      <c r="A124" s="193"/>
      <c r="B124" s="190" t="s">
        <v>109</v>
      </c>
      <c r="C124" s="191">
        <v>4557</v>
      </c>
      <c r="D124" s="191">
        <v>13635</v>
      </c>
      <c r="E124" s="191">
        <v>17676</v>
      </c>
      <c r="F124" s="191">
        <v>17064</v>
      </c>
      <c r="G124" s="191">
        <v>16062</v>
      </c>
      <c r="H124" s="191">
        <v>17545</v>
      </c>
      <c r="I124" s="192">
        <f>IFERROR(H124/G124-1,"-")</f>
        <v>9.2329722325986907E-2</v>
      </c>
      <c r="J124" s="191">
        <f t="shared" si="40"/>
        <v>1483</v>
      </c>
      <c r="K124" s="192">
        <f>H124/H$8</f>
        <v>6.2993251159065046E-3</v>
      </c>
      <c r="L124" s="103"/>
    </row>
    <row r="125" spans="1:12" s="74" customFormat="1" x14ac:dyDescent="0.25">
      <c r="A125" s="193"/>
      <c r="B125" s="194" t="s">
        <v>112</v>
      </c>
      <c r="C125" s="195">
        <v>271</v>
      </c>
      <c r="D125" s="195">
        <v>1015</v>
      </c>
      <c r="E125" s="195">
        <v>2245</v>
      </c>
      <c r="F125" s="195">
        <v>4909</v>
      </c>
      <c r="G125" s="195">
        <v>2363</v>
      </c>
      <c r="H125" s="195">
        <v>1851</v>
      </c>
      <c r="I125" s="196">
        <f t="shared" ref="I125:I132" si="41">IFERROR(H125/G125-1,"-")</f>
        <v>-0.21667371984765127</v>
      </c>
      <c r="J125" s="195">
        <f t="shared" si="40"/>
        <v>-512</v>
      </c>
      <c r="K125" s="196">
        <f t="shared" ref="K125:K132" si="42">H125/H$8</f>
        <v>6.6457969732362158E-4</v>
      </c>
      <c r="L125" s="197"/>
    </row>
    <row r="126" spans="1:12" s="74" customFormat="1" x14ac:dyDescent="0.25">
      <c r="A126" s="193"/>
      <c r="B126" s="194" t="s">
        <v>115</v>
      </c>
      <c r="C126" s="195">
        <v>265</v>
      </c>
      <c r="D126" s="195">
        <v>1556</v>
      </c>
      <c r="E126" s="195">
        <v>1872</v>
      </c>
      <c r="F126" s="195">
        <v>2184</v>
      </c>
      <c r="G126" s="195">
        <v>2212</v>
      </c>
      <c r="H126" s="195">
        <v>2325</v>
      </c>
      <c r="I126" s="196">
        <f t="shared" si="41"/>
        <v>5.1084990958408572E-2</v>
      </c>
      <c r="J126" s="195">
        <f t="shared" si="40"/>
        <v>113</v>
      </c>
      <c r="K126" s="196">
        <f t="shared" si="42"/>
        <v>8.3476380133842257E-4</v>
      </c>
      <c r="L126" s="197"/>
    </row>
    <row r="127" spans="1:12" x14ac:dyDescent="0.25">
      <c r="A127" s="193"/>
      <c r="B127" s="194" t="s">
        <v>118</v>
      </c>
      <c r="C127" s="195">
        <v>212</v>
      </c>
      <c r="D127" s="195">
        <v>1484</v>
      </c>
      <c r="E127" s="195">
        <v>1536</v>
      </c>
      <c r="F127" s="195">
        <v>1358</v>
      </c>
      <c r="G127" s="195">
        <v>2078</v>
      </c>
      <c r="H127" s="195">
        <v>2364</v>
      </c>
      <c r="I127" s="196">
        <f t="shared" si="41"/>
        <v>0.13763233878729553</v>
      </c>
      <c r="J127" s="195">
        <f t="shared" si="40"/>
        <v>286</v>
      </c>
      <c r="K127" s="196">
        <f t="shared" si="42"/>
        <v>8.4876629090926059E-4</v>
      </c>
      <c r="L127" s="103"/>
    </row>
    <row r="128" spans="1:12" x14ac:dyDescent="0.25">
      <c r="A128" s="193"/>
      <c r="B128" s="194" t="s">
        <v>125</v>
      </c>
      <c r="C128" s="195">
        <v>29</v>
      </c>
      <c r="D128" s="195">
        <v>329</v>
      </c>
      <c r="E128" s="195">
        <v>373</v>
      </c>
      <c r="F128" s="195">
        <v>576</v>
      </c>
      <c r="G128" s="195">
        <v>351</v>
      </c>
      <c r="H128" s="195">
        <v>970</v>
      </c>
      <c r="I128" s="196">
        <f t="shared" si="41"/>
        <v>1.7635327635327633</v>
      </c>
      <c r="J128" s="195">
        <f t="shared" si="40"/>
        <v>619</v>
      </c>
      <c r="K128" s="196">
        <f t="shared" si="42"/>
        <v>3.4826704830033116E-4</v>
      </c>
      <c r="L128" s="103"/>
    </row>
    <row r="129" spans="1:12" x14ac:dyDescent="0.25">
      <c r="A129" s="193"/>
      <c r="B129" s="194" t="s">
        <v>121</v>
      </c>
      <c r="C129" s="195">
        <v>140</v>
      </c>
      <c r="D129" s="195">
        <v>260</v>
      </c>
      <c r="E129" s="195">
        <v>243</v>
      </c>
      <c r="F129" s="195">
        <v>288</v>
      </c>
      <c r="G129" s="195">
        <v>439</v>
      </c>
      <c r="H129" s="195">
        <v>481</v>
      </c>
      <c r="I129" s="196">
        <f t="shared" si="41"/>
        <v>9.567198177676528E-2</v>
      </c>
      <c r="J129" s="195">
        <f t="shared" si="40"/>
        <v>42</v>
      </c>
      <c r="K129" s="196">
        <f t="shared" si="42"/>
        <v>1.7269737137366937E-4</v>
      </c>
      <c r="L129" s="103"/>
    </row>
    <row r="130" spans="1:12" x14ac:dyDescent="0.25">
      <c r="A130" s="193"/>
      <c r="B130" s="194" t="s">
        <v>130</v>
      </c>
      <c r="C130" s="195">
        <v>0</v>
      </c>
      <c r="D130" s="195">
        <v>58</v>
      </c>
      <c r="E130" s="195">
        <v>50</v>
      </c>
      <c r="F130" s="195">
        <v>136</v>
      </c>
      <c r="G130" s="195">
        <v>55</v>
      </c>
      <c r="H130" s="195">
        <v>120</v>
      </c>
      <c r="I130" s="196">
        <f t="shared" si="41"/>
        <v>1.1818181818181817</v>
      </c>
      <c r="J130" s="195">
        <f t="shared" si="40"/>
        <v>65</v>
      </c>
      <c r="K130" s="196">
        <f t="shared" si="42"/>
        <v>4.3084583294886326E-5</v>
      </c>
      <c r="L130" s="103"/>
    </row>
    <row r="131" spans="1:12" x14ac:dyDescent="0.25">
      <c r="A131" s="193" t="s">
        <v>146</v>
      </c>
      <c r="B131" s="194" t="s">
        <v>133</v>
      </c>
      <c r="C131" s="195">
        <v>63</v>
      </c>
      <c r="D131" s="195">
        <v>113</v>
      </c>
      <c r="E131" s="195">
        <v>73</v>
      </c>
      <c r="F131" s="195">
        <v>105</v>
      </c>
      <c r="G131" s="195">
        <v>48</v>
      </c>
      <c r="H131" s="195">
        <v>60</v>
      </c>
      <c r="I131" s="196">
        <f t="shared" si="41"/>
        <v>0.25</v>
      </c>
      <c r="J131" s="195">
        <f t="shared" si="40"/>
        <v>12</v>
      </c>
      <c r="K131" s="196">
        <f t="shared" si="42"/>
        <v>2.1542291647443163E-5</v>
      </c>
      <c r="L131" s="103"/>
    </row>
    <row r="132" spans="1:12" x14ac:dyDescent="0.25">
      <c r="A132" s="193" t="s">
        <v>147</v>
      </c>
      <c r="B132" s="199" t="s">
        <v>147</v>
      </c>
      <c r="C132" s="200">
        <f t="shared" ref="C132" si="43">C124-SUM(C125:C131)</f>
        <v>3577</v>
      </c>
      <c r="D132" s="200">
        <f t="shared" ref="D132:H132" si="44">D124-SUM(D125:D131)</f>
        <v>8820</v>
      </c>
      <c r="E132" s="200">
        <f t="shared" si="44"/>
        <v>11284</v>
      </c>
      <c r="F132" s="200">
        <f t="shared" si="44"/>
        <v>7508</v>
      </c>
      <c r="G132" s="200">
        <f t="shared" si="44"/>
        <v>8516</v>
      </c>
      <c r="H132" s="200">
        <f t="shared" si="44"/>
        <v>9374</v>
      </c>
      <c r="I132" s="201">
        <f t="shared" si="41"/>
        <v>0.10075152653828079</v>
      </c>
      <c r="J132" s="200">
        <f>H132-G132</f>
        <v>858</v>
      </c>
      <c r="K132" s="201">
        <f t="shared" si="42"/>
        <v>3.3656240317188704E-3</v>
      </c>
      <c r="L132" s="103"/>
    </row>
    <row r="133" spans="1:12" s="177" customFormat="1" x14ac:dyDescent="0.25">
      <c r="A133" s="193"/>
      <c r="B133" s="186" t="s">
        <v>54</v>
      </c>
      <c r="C133" s="184"/>
      <c r="D133" s="184"/>
      <c r="E133" s="184"/>
      <c r="F133" s="184"/>
      <c r="G133" s="184"/>
      <c r="H133" s="184"/>
      <c r="I133" s="184"/>
      <c r="J133" s="184"/>
      <c r="K133" s="184"/>
    </row>
    <row r="134" spans="1:12" x14ac:dyDescent="0.25">
      <c r="A134" s="193"/>
      <c r="B134" s="187" t="s">
        <v>70</v>
      </c>
      <c r="C134" s="209">
        <v>22909</v>
      </c>
      <c r="D134" s="209">
        <v>89027</v>
      </c>
      <c r="E134" s="209">
        <v>136089</v>
      </c>
      <c r="F134" s="209">
        <v>150809</v>
      </c>
      <c r="G134" s="209">
        <v>145872</v>
      </c>
      <c r="H134" s="209">
        <v>164231</v>
      </c>
      <c r="I134" s="210">
        <f>IFERROR(H134/G134-1,"-")</f>
        <v>0.12585691565207857</v>
      </c>
      <c r="J134" s="209">
        <f>H134-G134</f>
        <v>18359</v>
      </c>
      <c r="K134" s="210">
        <f>H134/H$8</f>
        <v>5.8965201659187304E-2</v>
      </c>
      <c r="L134" s="103"/>
    </row>
    <row r="135" spans="1:12" x14ac:dyDescent="0.25">
      <c r="A135" s="193" t="s">
        <v>98</v>
      </c>
      <c r="B135" s="190" t="s">
        <v>99</v>
      </c>
      <c r="C135" s="191">
        <v>10533</v>
      </c>
      <c r="D135" s="191">
        <v>17671</v>
      </c>
      <c r="E135" s="191">
        <v>12307</v>
      </c>
      <c r="F135" s="191">
        <v>12268</v>
      </c>
      <c r="G135" s="191">
        <v>11247</v>
      </c>
      <c r="H135" s="191">
        <v>20603</v>
      </c>
      <c r="I135" s="192">
        <f>IFERROR(H135/G135-1,"-")</f>
        <v>0.83186627545123137</v>
      </c>
      <c r="J135" s="191">
        <f t="shared" ref="J135:J145" si="45">H135-G135</f>
        <v>9356</v>
      </c>
      <c r="K135" s="192">
        <f>H135/H$8</f>
        <v>7.3972639135378585E-3</v>
      </c>
      <c r="L135" s="103"/>
    </row>
    <row r="136" spans="1:12" x14ac:dyDescent="0.25">
      <c r="A136" s="193" t="s">
        <v>105</v>
      </c>
      <c r="B136" s="194" t="s">
        <v>105</v>
      </c>
      <c r="C136" s="195">
        <v>5778</v>
      </c>
      <c r="D136" s="195">
        <v>10248</v>
      </c>
      <c r="E136" s="195">
        <v>7224</v>
      </c>
      <c r="F136" s="195">
        <v>6609</v>
      </c>
      <c r="G136" s="195">
        <v>4531</v>
      </c>
      <c r="H136" s="195">
        <v>11153</v>
      </c>
      <c r="I136" s="196">
        <f>IFERROR(H136/G136-1,"-")</f>
        <v>1.4614875303465018</v>
      </c>
      <c r="J136" s="195">
        <f t="shared" si="45"/>
        <v>6622</v>
      </c>
      <c r="K136" s="196">
        <f>H136/H$8</f>
        <v>4.0043529790655596E-3</v>
      </c>
      <c r="L136" s="103"/>
    </row>
    <row r="137" spans="1:12" x14ac:dyDescent="0.25">
      <c r="A137" s="193" t="s">
        <v>102</v>
      </c>
      <c r="B137" s="194" t="s">
        <v>102</v>
      </c>
      <c r="C137" s="195">
        <v>4755</v>
      </c>
      <c r="D137" s="195">
        <v>7423</v>
      </c>
      <c r="E137" s="195">
        <v>5083</v>
      </c>
      <c r="F137" s="195">
        <v>5659</v>
      </c>
      <c r="G137" s="195">
        <v>6716</v>
      </c>
      <c r="H137" s="195">
        <v>9450</v>
      </c>
      <c r="I137" s="196">
        <f>IFERROR(H137/G137-1,"-")</f>
        <v>0.40708755211435377</v>
      </c>
      <c r="J137" s="195">
        <f t="shared" si="45"/>
        <v>2734</v>
      </c>
      <c r="K137" s="196">
        <f>H137/H$8</f>
        <v>3.3929109344722984E-3</v>
      </c>
      <c r="L137" s="103"/>
    </row>
    <row r="138" spans="1:12" x14ac:dyDescent="0.25">
      <c r="A138" s="193"/>
      <c r="B138" s="190" t="s">
        <v>109</v>
      </c>
      <c r="C138" s="191">
        <v>12376</v>
      </c>
      <c r="D138" s="191">
        <v>71356</v>
      </c>
      <c r="E138" s="191">
        <v>123782</v>
      </c>
      <c r="F138" s="191">
        <v>138541</v>
      </c>
      <c r="G138" s="191">
        <v>134625</v>
      </c>
      <c r="H138" s="191">
        <v>143628</v>
      </c>
      <c r="I138" s="192">
        <f>IFERROR(H138/G138-1,"-")</f>
        <v>6.687465181058494E-2</v>
      </c>
      <c r="J138" s="191">
        <f t="shared" si="45"/>
        <v>9003</v>
      </c>
      <c r="K138" s="192">
        <f>H138/H$8</f>
        <v>5.1567937745649446E-2</v>
      </c>
      <c r="L138" s="103"/>
    </row>
    <row r="139" spans="1:12" s="74" customFormat="1" x14ac:dyDescent="0.25">
      <c r="A139" s="193"/>
      <c r="B139" s="194" t="s">
        <v>112</v>
      </c>
      <c r="C139" s="195">
        <v>1376</v>
      </c>
      <c r="D139" s="195">
        <v>20858</v>
      </c>
      <c r="E139" s="195">
        <v>60744</v>
      </c>
      <c r="F139" s="195">
        <v>69941</v>
      </c>
      <c r="G139" s="195">
        <v>69701</v>
      </c>
      <c r="H139" s="195">
        <v>74942</v>
      </c>
      <c r="I139" s="196">
        <f t="shared" ref="I139:I146" si="46">IFERROR(H139/G139-1,"-")</f>
        <v>7.51926084274257E-2</v>
      </c>
      <c r="J139" s="195">
        <f t="shared" si="45"/>
        <v>5241</v>
      </c>
      <c r="K139" s="196">
        <f t="shared" ref="K139:K146" si="47">H139/H$8</f>
        <v>2.6907040344044758E-2</v>
      </c>
      <c r="L139" s="197"/>
    </row>
    <row r="140" spans="1:12" s="74" customFormat="1" x14ac:dyDescent="0.25">
      <c r="A140" s="193"/>
      <c r="B140" s="194" t="s">
        <v>115</v>
      </c>
      <c r="C140" s="195">
        <v>1355</v>
      </c>
      <c r="D140" s="195">
        <v>6062</v>
      </c>
      <c r="E140" s="195">
        <v>9609</v>
      </c>
      <c r="F140" s="195">
        <v>12732</v>
      </c>
      <c r="G140" s="195">
        <v>10309</v>
      </c>
      <c r="H140" s="195">
        <v>13426</v>
      </c>
      <c r="I140" s="196">
        <f t="shared" si="46"/>
        <v>0.30235716364341836</v>
      </c>
      <c r="J140" s="195">
        <f t="shared" si="45"/>
        <v>3117</v>
      </c>
      <c r="K140" s="196">
        <f t="shared" si="47"/>
        <v>4.8204467943095321E-3</v>
      </c>
      <c r="L140" s="197"/>
    </row>
    <row r="141" spans="1:12" x14ac:dyDescent="0.25">
      <c r="A141" s="193"/>
      <c r="B141" s="194" t="s">
        <v>118</v>
      </c>
      <c r="C141" s="195">
        <v>2045</v>
      </c>
      <c r="D141" s="195">
        <v>8592</v>
      </c>
      <c r="E141" s="195">
        <v>11521</v>
      </c>
      <c r="F141" s="195">
        <v>13438</v>
      </c>
      <c r="G141" s="195">
        <v>10957</v>
      </c>
      <c r="H141" s="195">
        <v>12394</v>
      </c>
      <c r="I141" s="196">
        <f t="shared" si="46"/>
        <v>0.13114903714520398</v>
      </c>
      <c r="J141" s="195">
        <f t="shared" si="45"/>
        <v>1437</v>
      </c>
      <c r="K141" s="196">
        <f t="shared" si="47"/>
        <v>4.4499193779735094E-3</v>
      </c>
      <c r="L141" s="103"/>
    </row>
    <row r="142" spans="1:12" x14ac:dyDescent="0.25">
      <c r="A142" s="193"/>
      <c r="B142" s="194" t="s">
        <v>125</v>
      </c>
      <c r="C142" s="195">
        <v>57</v>
      </c>
      <c r="D142" s="195">
        <v>3326</v>
      </c>
      <c r="E142" s="195">
        <v>5770</v>
      </c>
      <c r="F142" s="195">
        <v>7531</v>
      </c>
      <c r="G142" s="195">
        <v>3763</v>
      </c>
      <c r="H142" s="195">
        <v>4657</v>
      </c>
      <c r="I142" s="196">
        <f t="shared" si="46"/>
        <v>0.23757640180706874</v>
      </c>
      <c r="J142" s="195">
        <f t="shared" si="45"/>
        <v>894</v>
      </c>
      <c r="K142" s="196">
        <f t="shared" si="47"/>
        <v>1.6720408700357135E-3</v>
      </c>
      <c r="L142" s="103"/>
    </row>
    <row r="143" spans="1:12" x14ac:dyDescent="0.25">
      <c r="A143" s="193"/>
      <c r="B143" s="194" t="s">
        <v>121</v>
      </c>
      <c r="C143" s="195">
        <v>1017</v>
      </c>
      <c r="D143" s="195">
        <v>3158</v>
      </c>
      <c r="E143" s="195">
        <v>2357</v>
      </c>
      <c r="F143" s="195">
        <v>2600</v>
      </c>
      <c r="G143" s="195">
        <v>1713</v>
      </c>
      <c r="H143" s="195">
        <v>1481</v>
      </c>
      <c r="I143" s="196">
        <f t="shared" si="46"/>
        <v>-0.13543490951546988</v>
      </c>
      <c r="J143" s="195">
        <f t="shared" si="45"/>
        <v>-232</v>
      </c>
      <c r="K143" s="196">
        <f t="shared" si="47"/>
        <v>5.3173556549772209E-4</v>
      </c>
      <c r="L143" s="103"/>
    </row>
    <row r="144" spans="1:12" x14ac:dyDescent="0.25">
      <c r="A144" s="193"/>
      <c r="B144" s="194" t="s">
        <v>130</v>
      </c>
      <c r="C144" s="195">
        <v>6</v>
      </c>
      <c r="D144" s="195">
        <v>20</v>
      </c>
      <c r="E144" s="195">
        <v>126</v>
      </c>
      <c r="F144" s="195">
        <v>46</v>
      </c>
      <c r="G144" s="195">
        <v>94</v>
      </c>
      <c r="H144" s="195">
        <v>167</v>
      </c>
      <c r="I144" s="196">
        <f t="shared" si="46"/>
        <v>0.77659574468085113</v>
      </c>
      <c r="J144" s="195">
        <f t="shared" si="45"/>
        <v>73</v>
      </c>
      <c r="K144" s="196">
        <f t="shared" si="47"/>
        <v>5.9959378418716806E-5</v>
      </c>
      <c r="L144" s="103"/>
    </row>
    <row r="145" spans="1:12" x14ac:dyDescent="0.25">
      <c r="A145" s="193" t="s">
        <v>146</v>
      </c>
      <c r="B145" s="194" t="s">
        <v>133</v>
      </c>
      <c r="C145" s="195">
        <v>0</v>
      </c>
      <c r="D145" s="195">
        <v>0</v>
      </c>
      <c r="E145" s="195">
        <v>15</v>
      </c>
      <c r="F145" s="195">
        <v>53</v>
      </c>
      <c r="G145" s="195">
        <v>102</v>
      </c>
      <c r="H145" s="195">
        <v>26</v>
      </c>
      <c r="I145" s="196">
        <f t="shared" si="46"/>
        <v>-0.74509803921568629</v>
      </c>
      <c r="J145" s="195">
        <f t="shared" si="45"/>
        <v>-76</v>
      </c>
      <c r="K145" s="196">
        <f t="shared" si="47"/>
        <v>9.3349930472253703E-6</v>
      </c>
      <c r="L145" s="103"/>
    </row>
    <row r="146" spans="1:12" x14ac:dyDescent="0.25">
      <c r="A146" s="193" t="s">
        <v>147</v>
      </c>
      <c r="B146" s="199" t="s">
        <v>147</v>
      </c>
      <c r="C146" s="200">
        <f t="shared" ref="C146" si="48">C138-SUM(C139:C145)</f>
        <v>6520</v>
      </c>
      <c r="D146" s="200">
        <f t="shared" ref="D146:H146" si="49">D138-SUM(D139:D145)</f>
        <v>29340</v>
      </c>
      <c r="E146" s="200">
        <f t="shared" si="49"/>
        <v>33640</v>
      </c>
      <c r="F146" s="200">
        <f t="shared" si="49"/>
        <v>32200</v>
      </c>
      <c r="G146" s="200">
        <f t="shared" si="49"/>
        <v>37986</v>
      </c>
      <c r="H146" s="200">
        <f t="shared" si="49"/>
        <v>36535</v>
      </c>
      <c r="I146" s="201">
        <f t="shared" si="46"/>
        <v>-3.8198283578160352E-2</v>
      </c>
      <c r="J146" s="200">
        <f>H146-G146</f>
        <v>-1451</v>
      </c>
      <c r="K146" s="201">
        <f t="shared" si="47"/>
        <v>1.3117460422322267E-2</v>
      </c>
      <c r="L146" s="103"/>
    </row>
    <row r="147" spans="1:12" s="177" customFormat="1" x14ac:dyDescent="0.25">
      <c r="A147" s="193"/>
      <c r="B147" s="186" t="s">
        <v>55</v>
      </c>
      <c r="C147" s="184"/>
      <c r="D147" s="184"/>
      <c r="E147" s="184"/>
      <c r="F147" s="184"/>
      <c r="G147" s="184"/>
      <c r="H147" s="184"/>
      <c r="I147" s="184"/>
      <c r="J147" s="184"/>
      <c r="K147" s="184"/>
    </row>
    <row r="148" spans="1:12" x14ac:dyDescent="0.25">
      <c r="A148" s="193"/>
      <c r="B148" s="187" t="s">
        <v>70</v>
      </c>
      <c r="C148" s="209">
        <v>12773</v>
      </c>
      <c r="D148" s="209">
        <v>36529</v>
      </c>
      <c r="E148" s="209">
        <v>45326</v>
      </c>
      <c r="F148" s="209">
        <v>51812</v>
      </c>
      <c r="G148" s="209">
        <v>59839</v>
      </c>
      <c r="H148" s="209">
        <v>60638</v>
      </c>
      <c r="I148" s="210">
        <f>IFERROR(H148/G148-1,"-")</f>
        <v>1.3352495863901526E-2</v>
      </c>
      <c r="J148" s="209">
        <f>H148-G148</f>
        <v>799</v>
      </c>
      <c r="K148" s="210">
        <f>H148/H$8</f>
        <v>2.1771358015294309E-2</v>
      </c>
      <c r="L148" s="103"/>
    </row>
    <row r="149" spans="1:12" x14ac:dyDescent="0.25">
      <c r="A149" s="193" t="s">
        <v>98</v>
      </c>
      <c r="B149" s="190" t="s">
        <v>99</v>
      </c>
      <c r="C149" s="191">
        <v>8890</v>
      </c>
      <c r="D149" s="191">
        <v>13747</v>
      </c>
      <c r="E149" s="191">
        <v>20101</v>
      </c>
      <c r="F149" s="191">
        <v>20643</v>
      </c>
      <c r="G149" s="191">
        <v>23005</v>
      </c>
      <c r="H149" s="191">
        <v>22310</v>
      </c>
      <c r="I149" s="192">
        <f>IFERROR(H149/G149-1,"-")</f>
        <v>-3.0210823733970882E-2</v>
      </c>
      <c r="J149" s="191">
        <f t="shared" ref="J149:J159" si="50">H149-G149</f>
        <v>-695</v>
      </c>
      <c r="K149" s="192">
        <f>H149/H$8</f>
        <v>8.010142110907616E-3</v>
      </c>
      <c r="L149" s="103"/>
    </row>
    <row r="150" spans="1:12" x14ac:dyDescent="0.25">
      <c r="A150" s="193" t="s">
        <v>105</v>
      </c>
      <c r="B150" s="194" t="s">
        <v>105</v>
      </c>
      <c r="C150" s="195">
        <v>5277</v>
      </c>
      <c r="D150" s="195">
        <v>9322</v>
      </c>
      <c r="E150" s="195">
        <v>15548</v>
      </c>
      <c r="F150" s="195">
        <v>15622</v>
      </c>
      <c r="G150" s="195">
        <v>16041</v>
      </c>
      <c r="H150" s="195">
        <v>13391</v>
      </c>
      <c r="I150" s="196">
        <f>IFERROR(H150/G150-1,"-")</f>
        <v>-0.16520167071878311</v>
      </c>
      <c r="J150" s="195">
        <f t="shared" si="50"/>
        <v>-2650</v>
      </c>
      <c r="K150" s="196">
        <f>H150/H$8</f>
        <v>4.8078804575151903E-3</v>
      </c>
      <c r="L150" s="103"/>
    </row>
    <row r="151" spans="1:12" x14ac:dyDescent="0.25">
      <c r="A151" s="193" t="s">
        <v>102</v>
      </c>
      <c r="B151" s="194" t="s">
        <v>102</v>
      </c>
      <c r="C151" s="195">
        <v>3613</v>
      </c>
      <c r="D151" s="195">
        <v>4425</v>
      </c>
      <c r="E151" s="195">
        <v>4553</v>
      </c>
      <c r="F151" s="195">
        <v>5021</v>
      </c>
      <c r="G151" s="195">
        <v>6964</v>
      </c>
      <c r="H151" s="195">
        <v>8919</v>
      </c>
      <c r="I151" s="196">
        <f>IFERROR(H151/G151-1,"-")</f>
        <v>0.28072946582423897</v>
      </c>
      <c r="J151" s="195">
        <f t="shared" si="50"/>
        <v>1955</v>
      </c>
      <c r="K151" s="196">
        <f>H151/H$8</f>
        <v>3.2022616533924262E-3</v>
      </c>
      <c r="L151" s="103"/>
    </row>
    <row r="152" spans="1:12" x14ac:dyDescent="0.25">
      <c r="A152" s="193"/>
      <c r="B152" s="190" t="s">
        <v>109</v>
      </c>
      <c r="C152" s="191">
        <v>3883</v>
      </c>
      <c r="D152" s="191">
        <v>22782</v>
      </c>
      <c r="E152" s="191">
        <v>25225</v>
      </c>
      <c r="F152" s="191">
        <v>31169</v>
      </c>
      <c r="G152" s="191">
        <v>36834</v>
      </c>
      <c r="H152" s="191">
        <v>38328</v>
      </c>
      <c r="I152" s="192">
        <f>IFERROR(H152/G152-1,"-")</f>
        <v>4.056035184883533E-2</v>
      </c>
      <c r="J152" s="191">
        <f t="shared" si="50"/>
        <v>1494</v>
      </c>
      <c r="K152" s="192">
        <f>H152/H$8</f>
        <v>1.3761215904386693E-2</v>
      </c>
      <c r="L152" s="103"/>
    </row>
    <row r="153" spans="1:12" s="74" customFormat="1" x14ac:dyDescent="0.25">
      <c r="A153" s="193"/>
      <c r="B153" s="194" t="s">
        <v>112</v>
      </c>
      <c r="C153" s="195">
        <v>61</v>
      </c>
      <c r="D153" s="195">
        <v>5277</v>
      </c>
      <c r="E153" s="195">
        <v>10081</v>
      </c>
      <c r="F153" s="195">
        <v>10375</v>
      </c>
      <c r="G153" s="195">
        <v>10394</v>
      </c>
      <c r="H153" s="195">
        <v>4706</v>
      </c>
      <c r="I153" s="196">
        <f t="shared" ref="I153:I160" si="51">IFERROR(H153/G153-1,"-")</f>
        <v>-0.54723879161054456</v>
      </c>
      <c r="J153" s="195">
        <f t="shared" si="50"/>
        <v>-5688</v>
      </c>
      <c r="K153" s="196">
        <f t="shared" ref="K153:K160" si="52">H153/H$8</f>
        <v>1.6896337415477922E-3</v>
      </c>
      <c r="L153" s="197"/>
    </row>
    <row r="154" spans="1:12" s="74" customFormat="1" x14ac:dyDescent="0.25">
      <c r="A154" s="193"/>
      <c r="B154" s="194" t="s">
        <v>115</v>
      </c>
      <c r="C154" s="195">
        <v>621</v>
      </c>
      <c r="D154" s="195">
        <v>6599</v>
      </c>
      <c r="E154" s="195">
        <v>5508</v>
      </c>
      <c r="F154" s="195">
        <v>6218</v>
      </c>
      <c r="G154" s="195">
        <v>5753</v>
      </c>
      <c r="H154" s="195">
        <v>5632</v>
      </c>
      <c r="I154" s="196">
        <f t="shared" si="51"/>
        <v>-2.1032504780114758E-2</v>
      </c>
      <c r="J154" s="195">
        <f t="shared" si="50"/>
        <v>-121</v>
      </c>
      <c r="K154" s="196">
        <f t="shared" si="52"/>
        <v>2.0221031093066648E-3</v>
      </c>
      <c r="L154" s="197"/>
    </row>
    <row r="155" spans="1:12" x14ac:dyDescent="0.25">
      <c r="A155" s="193"/>
      <c r="B155" s="194" t="s">
        <v>118</v>
      </c>
      <c r="C155" s="195">
        <v>187</v>
      </c>
      <c r="D155" s="195">
        <v>2678</v>
      </c>
      <c r="E155" s="195">
        <v>3549</v>
      </c>
      <c r="F155" s="195">
        <v>6400</v>
      </c>
      <c r="G155" s="195">
        <v>8652</v>
      </c>
      <c r="H155" s="195">
        <v>16878</v>
      </c>
      <c r="I155" s="196">
        <f t="shared" si="51"/>
        <v>0.95076282940360612</v>
      </c>
      <c r="J155" s="195">
        <f t="shared" si="50"/>
        <v>8226</v>
      </c>
      <c r="K155" s="196">
        <f t="shared" si="52"/>
        <v>6.0598466404257617E-3</v>
      </c>
      <c r="L155" s="103"/>
    </row>
    <row r="156" spans="1:12" x14ac:dyDescent="0.25">
      <c r="A156" s="193"/>
      <c r="B156" s="194" t="s">
        <v>125</v>
      </c>
      <c r="C156" s="195">
        <v>16</v>
      </c>
      <c r="D156" s="195">
        <v>442</v>
      </c>
      <c r="E156" s="195">
        <v>626</v>
      </c>
      <c r="F156" s="195">
        <v>1017</v>
      </c>
      <c r="G156" s="195">
        <v>1441</v>
      </c>
      <c r="H156" s="195">
        <v>988</v>
      </c>
      <c r="I156" s="196">
        <f t="shared" si="51"/>
        <v>-0.3143650242886884</v>
      </c>
      <c r="J156" s="195">
        <f t="shared" si="50"/>
        <v>-453</v>
      </c>
      <c r="K156" s="196">
        <f t="shared" si="52"/>
        <v>3.5472973579456408E-4</v>
      </c>
      <c r="L156" s="103"/>
    </row>
    <row r="157" spans="1:12" x14ac:dyDescent="0.25">
      <c r="A157" s="193"/>
      <c r="B157" s="194" t="s">
        <v>121</v>
      </c>
      <c r="C157" s="195">
        <v>1392</v>
      </c>
      <c r="D157" s="195">
        <v>1688</v>
      </c>
      <c r="E157" s="195">
        <v>2120</v>
      </c>
      <c r="F157" s="195">
        <v>919</v>
      </c>
      <c r="G157" s="195">
        <v>2380</v>
      </c>
      <c r="H157" s="195">
        <v>1898</v>
      </c>
      <c r="I157" s="196">
        <f t="shared" si="51"/>
        <v>-0.20252100840336129</v>
      </c>
      <c r="J157" s="195">
        <f t="shared" si="50"/>
        <v>-482</v>
      </c>
      <c r="K157" s="196">
        <f t="shared" si="52"/>
        <v>6.8145449244745202E-4</v>
      </c>
      <c r="L157" s="103"/>
    </row>
    <row r="158" spans="1:12" x14ac:dyDescent="0.25">
      <c r="A158" s="193"/>
      <c r="B158" s="194" t="s">
        <v>130</v>
      </c>
      <c r="C158" s="195">
        <v>29</v>
      </c>
      <c r="D158" s="195">
        <v>9</v>
      </c>
      <c r="E158" s="195">
        <v>36</v>
      </c>
      <c r="F158" s="195">
        <v>36</v>
      </c>
      <c r="G158" s="195">
        <v>73</v>
      </c>
      <c r="H158" s="195">
        <v>91</v>
      </c>
      <c r="I158" s="196">
        <f t="shared" si="51"/>
        <v>0.24657534246575352</v>
      </c>
      <c r="J158" s="195">
        <f t="shared" si="50"/>
        <v>18</v>
      </c>
      <c r="K158" s="196">
        <f t="shared" si="52"/>
        <v>3.2672475665288795E-5</v>
      </c>
      <c r="L158" s="103"/>
    </row>
    <row r="159" spans="1:12" x14ac:dyDescent="0.25">
      <c r="A159" s="193" t="s">
        <v>146</v>
      </c>
      <c r="B159" s="194" t="s">
        <v>133</v>
      </c>
      <c r="C159" s="195">
        <v>0</v>
      </c>
      <c r="D159" s="195">
        <v>14</v>
      </c>
      <c r="E159" s="195">
        <v>18</v>
      </c>
      <c r="F159" s="195">
        <v>46</v>
      </c>
      <c r="G159" s="195">
        <v>35</v>
      </c>
      <c r="H159" s="195">
        <v>18</v>
      </c>
      <c r="I159" s="196">
        <f t="shared" si="51"/>
        <v>-0.48571428571428577</v>
      </c>
      <c r="J159" s="195">
        <f t="shared" si="50"/>
        <v>-17</v>
      </c>
      <c r="K159" s="196">
        <f t="shared" si="52"/>
        <v>6.462687494232949E-6</v>
      </c>
      <c r="L159" s="103"/>
    </row>
    <row r="160" spans="1:12" x14ac:dyDescent="0.25">
      <c r="A160" s="193" t="s">
        <v>147</v>
      </c>
      <c r="B160" s="199" t="s">
        <v>147</v>
      </c>
      <c r="C160" s="200">
        <f t="shared" ref="C160" si="53">C152-SUM(C153:C159)</f>
        <v>1577</v>
      </c>
      <c r="D160" s="200">
        <f t="shared" ref="D160:H160" si="54">D152-SUM(D153:D159)</f>
        <v>6075</v>
      </c>
      <c r="E160" s="200">
        <f t="shared" si="54"/>
        <v>3287</v>
      </c>
      <c r="F160" s="200">
        <f t="shared" si="54"/>
        <v>6158</v>
      </c>
      <c r="G160" s="200">
        <f t="shared" si="54"/>
        <v>8106</v>
      </c>
      <c r="H160" s="200">
        <f t="shared" si="54"/>
        <v>8117</v>
      </c>
      <c r="I160" s="201">
        <f t="shared" si="51"/>
        <v>1.3570194917345013E-3</v>
      </c>
      <c r="J160" s="200">
        <f>H160-G160</f>
        <v>11</v>
      </c>
      <c r="K160" s="201">
        <f t="shared" si="52"/>
        <v>2.914313021704936E-3</v>
      </c>
      <c r="L160" s="103"/>
    </row>
    <row r="161" spans="1:14" ht="6" customHeight="1" x14ac:dyDescent="0.25">
      <c r="A161" s="193"/>
      <c r="B161" s="202"/>
      <c r="C161" s="202"/>
      <c r="D161" s="202"/>
      <c r="E161" s="202"/>
      <c r="F161" s="202"/>
      <c r="G161" s="202"/>
      <c r="H161" s="202"/>
      <c r="I161" s="202"/>
      <c r="J161" s="202"/>
      <c r="K161" s="202"/>
      <c r="L161" s="202"/>
      <c r="M161" s="202"/>
      <c r="N161" s="202"/>
    </row>
    <row r="162" spans="1:14" x14ac:dyDescent="0.25">
      <c r="B162" s="131" t="s">
        <v>57</v>
      </c>
      <c r="C162" s="131"/>
      <c r="D162" s="131"/>
      <c r="E162" s="131"/>
      <c r="F162" s="131"/>
      <c r="G162" s="131"/>
      <c r="H162" s="131"/>
      <c r="I162" s="131"/>
      <c r="J162" s="131"/>
      <c r="K162" s="131"/>
      <c r="L162" s="131"/>
      <c r="M162" s="131"/>
      <c r="N162" s="131"/>
    </row>
  </sheetData>
  <mergeCells count="1">
    <mergeCell ref="B4:K4"/>
  </mergeCells>
  <pageMargins left="0.25" right="0.25" top="0.75" bottom="0.75" header="0.3" footer="0.3"/>
  <pageSetup paperSize="9" scale="20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ADEA4-AC49-4001-A1C1-C9EC3D51C3AF}">
  <sheetPr>
    <tabColor rgb="FFF29140"/>
    <pageSetUpPr fitToPage="1"/>
  </sheetPr>
  <dimension ref="A1:N162"/>
  <sheetViews>
    <sheetView showGridLines="0" workbookViewId="0">
      <selection activeCell="G10" sqref="G10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</cols>
  <sheetData>
    <row r="1" spans="1:12" ht="42.75" customHeight="1" x14ac:dyDescent="0.25"/>
    <row r="3" spans="1:12" ht="42" customHeight="1" thickBot="1" x14ac:dyDescent="0.3">
      <c r="B3" s="12" t="str">
        <f>CONCATENATE("Pernoctaciones en los establecimientos alojativos de Tenerife según lugar de residencia y municipio de alojamiento (hotel + apartamento)")</f>
        <v>Pernoctaciones en los establecimientos alojativos de Tenerife según lugar de residencia y municipio de alojamiento (hotel + apartamento)</v>
      </c>
      <c r="C3" s="12"/>
      <c r="D3" s="12"/>
      <c r="E3" s="12"/>
      <c r="F3" s="12"/>
      <c r="G3" s="12"/>
      <c r="H3" s="12"/>
      <c r="I3" s="12"/>
      <c r="J3" s="12"/>
      <c r="K3" s="12"/>
    </row>
    <row r="4" spans="1:12" ht="6" customHeight="1" x14ac:dyDescent="0.25"/>
    <row r="5" spans="1:12" ht="15.75" x14ac:dyDescent="0.25">
      <c r="B5" s="174"/>
      <c r="C5" s="203" t="s">
        <v>45</v>
      </c>
      <c r="D5" s="204"/>
      <c r="E5" s="204"/>
      <c r="F5" s="204"/>
      <c r="G5" s="204"/>
      <c r="H5" s="204"/>
      <c r="I5" s="204"/>
      <c r="J5" s="204"/>
      <c r="K5" s="204"/>
    </row>
    <row r="6" spans="1:12" s="177" customFormat="1" ht="72" customHeight="1" x14ac:dyDescent="0.25">
      <c r="B6" s="178"/>
      <c r="C6" s="205" t="s">
        <v>265</v>
      </c>
      <c r="D6" s="205" t="s">
        <v>266</v>
      </c>
      <c r="E6" s="205" t="s">
        <v>267</v>
      </c>
      <c r="F6" s="205" t="s">
        <v>268</v>
      </c>
      <c r="G6" s="205" t="s">
        <v>269</v>
      </c>
      <c r="H6" s="205" t="s">
        <v>270</v>
      </c>
      <c r="I6" s="206" t="str">
        <f>CONCATENATE("var. ",RIGHT(H6,2),"/",RIGHT(G6,2))</f>
        <v>var. 25/24</v>
      </c>
      <c r="J6" s="205" t="str">
        <f>CONCATENATE("dif. ",RIGHT(H6,2),"/",RIGHT(G6,2))</f>
        <v>dif. 25/24</v>
      </c>
      <c r="K6" s="206" t="str">
        <f>CONCATENATE("Cuota s/ total lugares de residencia ",RIGHT(H6,4))</f>
        <v>Cuota s/ total lugares de residencia 2025</v>
      </c>
    </row>
    <row r="7" spans="1:12" s="177" customFormat="1" x14ac:dyDescent="0.25">
      <c r="B7" s="183" t="s">
        <v>45</v>
      </c>
      <c r="C7" s="184"/>
      <c r="D7" s="184"/>
      <c r="E7" s="184"/>
      <c r="F7" s="184"/>
      <c r="G7" s="184"/>
      <c r="H7" s="184"/>
      <c r="I7" s="184"/>
      <c r="J7" s="184"/>
      <c r="K7" s="184"/>
    </row>
    <row r="8" spans="1:12" x14ac:dyDescent="0.25">
      <c r="A8" s="1"/>
      <c r="B8" s="187" t="s">
        <v>70</v>
      </c>
      <c r="C8" s="209">
        <v>8930544</v>
      </c>
      <c r="D8" s="209">
        <v>7178852</v>
      </c>
      <c r="E8" s="209">
        <v>23015665</v>
      </c>
      <c r="F8" s="209">
        <v>25556749</v>
      </c>
      <c r="G8" s="209">
        <v>27044823</v>
      </c>
      <c r="H8" s="209">
        <v>26204731</v>
      </c>
      <c r="I8" s="210">
        <f>IFERROR(H8/G8-1,"-")</f>
        <v>-3.1062950569134773E-2</v>
      </c>
      <c r="J8" s="209">
        <f>H8-G8</f>
        <v>-840092</v>
      </c>
      <c r="K8" s="210">
        <f>H8/H$8</f>
        <v>1</v>
      </c>
      <c r="L8" s="103"/>
    </row>
    <row r="9" spans="1:12" x14ac:dyDescent="0.25">
      <c r="A9" s="1" t="s">
        <v>98</v>
      </c>
      <c r="B9" s="190" t="s">
        <v>99</v>
      </c>
      <c r="C9" s="191">
        <v>1358306</v>
      </c>
      <c r="D9" s="191">
        <v>2147199</v>
      </c>
      <c r="E9" s="191">
        <v>3245814</v>
      </c>
      <c r="F9" s="191">
        <v>3423966</v>
      </c>
      <c r="G9" s="191">
        <v>3369395</v>
      </c>
      <c r="H9" s="191">
        <v>3326600</v>
      </c>
      <c r="I9" s="192">
        <f>IFERROR(H9/G9-1,"-")</f>
        <v>-1.2701093222967308E-2</v>
      </c>
      <c r="J9" s="191">
        <f t="shared" ref="J9:J19" si="0">H9-G9</f>
        <v>-42795</v>
      </c>
      <c r="K9" s="192">
        <f>H9/H$8</f>
        <v>0.12694654259187016</v>
      </c>
      <c r="L9" s="103"/>
    </row>
    <row r="10" spans="1:12" x14ac:dyDescent="0.25">
      <c r="A10" s="193" t="s">
        <v>105</v>
      </c>
      <c r="B10" s="194" t="s">
        <v>105</v>
      </c>
      <c r="C10" s="195">
        <v>424865</v>
      </c>
      <c r="D10" s="195">
        <v>869041</v>
      </c>
      <c r="E10" s="195">
        <v>957251</v>
      </c>
      <c r="F10" s="195">
        <v>1065182</v>
      </c>
      <c r="G10" s="195">
        <v>1074979</v>
      </c>
      <c r="H10" s="195">
        <v>956924</v>
      </c>
      <c r="I10" s="196">
        <f>IFERROR(H10/G10-1,"-")</f>
        <v>-0.10982074998674396</v>
      </c>
      <c r="J10" s="195">
        <f t="shared" si="0"/>
        <v>-118055</v>
      </c>
      <c r="K10" s="196">
        <f>H10/H$8</f>
        <v>3.6517222786984535E-2</v>
      </c>
      <c r="L10" s="103"/>
    </row>
    <row r="11" spans="1:12" x14ac:dyDescent="0.25">
      <c r="A11" s="193" t="s">
        <v>102</v>
      </c>
      <c r="B11" s="194" t="s">
        <v>102</v>
      </c>
      <c r="C11" s="195">
        <v>933441</v>
      </c>
      <c r="D11" s="195">
        <v>1278158</v>
      </c>
      <c r="E11" s="195">
        <v>2288563</v>
      </c>
      <c r="F11" s="195">
        <v>2358784</v>
      </c>
      <c r="G11" s="195">
        <v>2294416</v>
      </c>
      <c r="H11" s="195">
        <v>2369676</v>
      </c>
      <c r="I11" s="196">
        <f>IFERROR(H11/G11-1,"-")</f>
        <v>3.2801375164747792E-2</v>
      </c>
      <c r="J11" s="195">
        <f t="shared" si="0"/>
        <v>75260</v>
      </c>
      <c r="K11" s="196">
        <f>H11/H$8</f>
        <v>9.0429319804885611E-2</v>
      </c>
      <c r="L11" s="103"/>
    </row>
    <row r="12" spans="1:12" x14ac:dyDescent="0.25">
      <c r="A12" s="1"/>
      <c r="B12" s="190" t="s">
        <v>109</v>
      </c>
      <c r="C12" s="191">
        <v>7572238</v>
      </c>
      <c r="D12" s="191">
        <v>5031653</v>
      </c>
      <c r="E12" s="191">
        <v>19769851</v>
      </c>
      <c r="F12" s="191">
        <v>22132783</v>
      </c>
      <c r="G12" s="191">
        <v>23675428</v>
      </c>
      <c r="H12" s="191">
        <v>22878131</v>
      </c>
      <c r="I12" s="192">
        <f>IFERROR(H12/G12-1,"-")</f>
        <v>-3.3676138822073209E-2</v>
      </c>
      <c r="J12" s="191">
        <f t="shared" si="0"/>
        <v>-797297</v>
      </c>
      <c r="K12" s="192">
        <f>H12/H$8</f>
        <v>0.8730534574081299</v>
      </c>
      <c r="L12" s="103"/>
    </row>
    <row r="13" spans="1:12" s="74" customFormat="1" x14ac:dyDescent="0.25">
      <c r="A13" s="193"/>
      <c r="B13" s="194" t="s">
        <v>112</v>
      </c>
      <c r="C13" s="195">
        <v>2918774</v>
      </c>
      <c r="D13" s="195">
        <v>1112121</v>
      </c>
      <c r="E13" s="195">
        <v>9382512</v>
      </c>
      <c r="F13" s="195">
        <v>10349496</v>
      </c>
      <c r="G13" s="195">
        <v>11157754</v>
      </c>
      <c r="H13" s="195">
        <v>10815343</v>
      </c>
      <c r="I13" s="196">
        <f t="shared" ref="I13:I20" si="1">IFERROR(H13/G13-1,"-")</f>
        <v>-3.0688165378085941E-2</v>
      </c>
      <c r="J13" s="195">
        <f t="shared" si="0"/>
        <v>-342411</v>
      </c>
      <c r="K13" s="196">
        <f t="shared" ref="K13:K20" si="2">H13/H$8</f>
        <v>0.4127248243838107</v>
      </c>
      <c r="L13" s="197"/>
    </row>
    <row r="14" spans="1:12" s="74" customFormat="1" x14ac:dyDescent="0.25">
      <c r="A14" s="193"/>
      <c r="B14" s="194" t="s">
        <v>115</v>
      </c>
      <c r="C14" s="195">
        <v>1150264</v>
      </c>
      <c r="D14" s="195">
        <v>842512</v>
      </c>
      <c r="E14" s="195">
        <v>2214213</v>
      </c>
      <c r="F14" s="195">
        <v>2530507</v>
      </c>
      <c r="G14" s="195">
        <v>2658876</v>
      </c>
      <c r="H14" s="195">
        <v>2521933</v>
      </c>
      <c r="I14" s="196">
        <f t="shared" si="1"/>
        <v>-5.1504094211238138E-2</v>
      </c>
      <c r="J14" s="195">
        <f t="shared" si="0"/>
        <v>-136943</v>
      </c>
      <c r="K14" s="196">
        <f t="shared" si="2"/>
        <v>9.6239606504642236E-2</v>
      </c>
      <c r="L14" s="197"/>
    </row>
    <row r="15" spans="1:12" x14ac:dyDescent="0.25">
      <c r="A15" s="193"/>
      <c r="B15" s="194" t="s">
        <v>118</v>
      </c>
      <c r="C15" s="195">
        <v>323121</v>
      </c>
      <c r="D15" s="195">
        <v>519939</v>
      </c>
      <c r="E15" s="195">
        <v>942553</v>
      </c>
      <c r="F15" s="195">
        <v>1133961</v>
      </c>
      <c r="G15" s="195">
        <v>1213515</v>
      </c>
      <c r="H15" s="195">
        <v>1185870</v>
      </c>
      <c r="I15" s="196">
        <f t="shared" si="1"/>
        <v>-2.2780929778371095E-2</v>
      </c>
      <c r="J15" s="195">
        <f t="shared" si="0"/>
        <v>-27645</v>
      </c>
      <c r="K15" s="196">
        <f t="shared" si="2"/>
        <v>4.5254042104076547E-2</v>
      </c>
      <c r="L15" s="103"/>
    </row>
    <row r="16" spans="1:12" x14ac:dyDescent="0.25">
      <c r="A16" s="193"/>
      <c r="B16" s="194" t="s">
        <v>125</v>
      </c>
      <c r="C16" s="195">
        <v>280169</v>
      </c>
      <c r="D16" s="195">
        <v>337074</v>
      </c>
      <c r="E16" s="195">
        <v>1010222</v>
      </c>
      <c r="F16" s="195">
        <v>992524</v>
      </c>
      <c r="G16" s="195">
        <v>1029391</v>
      </c>
      <c r="H16" s="195">
        <v>974840</v>
      </c>
      <c r="I16" s="196">
        <f t="shared" si="1"/>
        <v>-5.2993468953973721E-2</v>
      </c>
      <c r="J16" s="195">
        <f t="shared" si="0"/>
        <v>-54551</v>
      </c>
      <c r="K16" s="196">
        <f t="shared" si="2"/>
        <v>3.7200916124649402E-2</v>
      </c>
      <c r="L16" s="103"/>
    </row>
    <row r="17" spans="1:12" x14ac:dyDescent="0.25">
      <c r="A17" s="193"/>
      <c r="B17" s="194" t="s">
        <v>121</v>
      </c>
      <c r="C17" s="195">
        <v>381223</v>
      </c>
      <c r="D17" s="195">
        <v>366591</v>
      </c>
      <c r="E17" s="195">
        <v>826401</v>
      </c>
      <c r="F17" s="195">
        <v>849221</v>
      </c>
      <c r="G17" s="195">
        <v>877709</v>
      </c>
      <c r="H17" s="195">
        <v>798327</v>
      </c>
      <c r="I17" s="196">
        <f t="shared" si="1"/>
        <v>-9.0442276426469403E-2</v>
      </c>
      <c r="J17" s="195">
        <f t="shared" si="0"/>
        <v>-79382</v>
      </c>
      <c r="K17" s="196">
        <f t="shared" si="2"/>
        <v>3.0464995042307437E-2</v>
      </c>
      <c r="L17" s="103"/>
    </row>
    <row r="18" spans="1:12" x14ac:dyDescent="0.25">
      <c r="A18" s="193"/>
      <c r="B18" s="194" t="s">
        <v>130</v>
      </c>
      <c r="C18" s="195">
        <v>239983</v>
      </c>
      <c r="D18" s="195">
        <v>27437</v>
      </c>
      <c r="E18" s="195">
        <v>303983</v>
      </c>
      <c r="F18" s="195">
        <v>364696</v>
      </c>
      <c r="G18" s="195">
        <v>350071</v>
      </c>
      <c r="H18" s="195">
        <v>338536</v>
      </c>
      <c r="I18" s="196">
        <f t="shared" si="1"/>
        <v>-3.2950458621251122E-2</v>
      </c>
      <c r="J18" s="195">
        <f t="shared" si="0"/>
        <v>-11535</v>
      </c>
      <c r="K18" s="196">
        <f t="shared" si="2"/>
        <v>1.2918888577791545E-2</v>
      </c>
      <c r="L18" s="103"/>
    </row>
    <row r="19" spans="1:12" x14ac:dyDescent="0.25">
      <c r="A19" s="193" t="s">
        <v>146</v>
      </c>
      <c r="B19" s="194" t="s">
        <v>133</v>
      </c>
      <c r="C19" s="195">
        <v>339355</v>
      </c>
      <c r="D19" s="195">
        <v>26267</v>
      </c>
      <c r="E19" s="195">
        <v>221326</v>
      </c>
      <c r="F19" s="195">
        <v>324645</v>
      </c>
      <c r="G19" s="195">
        <v>334953</v>
      </c>
      <c r="H19" s="195">
        <v>284918</v>
      </c>
      <c r="I19" s="196">
        <f t="shared" si="1"/>
        <v>-0.14937916662934803</v>
      </c>
      <c r="J19" s="195">
        <f t="shared" si="0"/>
        <v>-50035</v>
      </c>
      <c r="K19" s="196">
        <f t="shared" si="2"/>
        <v>1.0872769501049257E-2</v>
      </c>
      <c r="L19" s="103"/>
    </row>
    <row r="20" spans="1:12" x14ac:dyDescent="0.25">
      <c r="A20" s="193" t="s">
        <v>147</v>
      </c>
      <c r="B20" s="199" t="s">
        <v>147</v>
      </c>
      <c r="C20" s="200">
        <f t="shared" ref="C20" si="3">C12-SUM(C13:C19)</f>
        <v>1939349</v>
      </c>
      <c r="D20" s="200">
        <f t="shared" ref="D20:H20" si="4">D12-SUM(D13:D19)</f>
        <v>1799712</v>
      </c>
      <c r="E20" s="200">
        <f t="shared" si="4"/>
        <v>4868641</v>
      </c>
      <c r="F20" s="200">
        <f t="shared" si="4"/>
        <v>5587733</v>
      </c>
      <c r="G20" s="200">
        <f t="shared" si="4"/>
        <v>6053159</v>
      </c>
      <c r="H20" s="200">
        <f t="shared" si="4"/>
        <v>5958364</v>
      </c>
      <c r="I20" s="201">
        <f t="shared" si="1"/>
        <v>-1.5660417973491159E-2</v>
      </c>
      <c r="J20" s="200">
        <f>H20-G20</f>
        <v>-94795</v>
      </c>
      <c r="K20" s="201">
        <f t="shared" si="2"/>
        <v>0.22737741516980273</v>
      </c>
      <c r="L20" s="103"/>
    </row>
    <row r="21" spans="1:12" s="177" customFormat="1" x14ac:dyDescent="0.25">
      <c r="A21" s="193"/>
      <c r="B21" s="186" t="s">
        <v>46</v>
      </c>
      <c r="C21" s="184"/>
      <c r="D21" s="184"/>
      <c r="E21" s="184"/>
      <c r="F21" s="184"/>
      <c r="G21" s="184"/>
      <c r="H21" s="184"/>
      <c r="I21" s="184"/>
      <c r="J21" s="184"/>
      <c r="K21" s="184"/>
    </row>
    <row r="22" spans="1:12" x14ac:dyDescent="0.25">
      <c r="A22" s="193"/>
      <c r="B22" s="187" t="s">
        <v>70</v>
      </c>
      <c r="C22" s="209">
        <v>3228073</v>
      </c>
      <c r="D22" s="209">
        <v>3053438</v>
      </c>
      <c r="E22" s="209">
        <v>9333775</v>
      </c>
      <c r="F22" s="209">
        <v>10077442</v>
      </c>
      <c r="G22" s="209">
        <v>10350937</v>
      </c>
      <c r="H22" s="209">
        <v>9774291</v>
      </c>
      <c r="I22" s="210">
        <f>IFERROR(H22/G22-1,"-")</f>
        <v>-5.5709545908742331E-2</v>
      </c>
      <c r="J22" s="209">
        <f>H22-G22</f>
        <v>-576646</v>
      </c>
      <c r="K22" s="210">
        <f>H22/H$8</f>
        <v>0.37299718894271422</v>
      </c>
      <c r="L22" s="103"/>
    </row>
    <row r="23" spans="1:12" x14ac:dyDescent="0.25">
      <c r="A23" s="193" t="s">
        <v>98</v>
      </c>
      <c r="B23" s="190" t="s">
        <v>99</v>
      </c>
      <c r="C23" s="191">
        <v>287860</v>
      </c>
      <c r="D23" s="191">
        <v>756699</v>
      </c>
      <c r="E23" s="191">
        <v>747196</v>
      </c>
      <c r="F23" s="191">
        <v>656924</v>
      </c>
      <c r="G23" s="191">
        <v>601274</v>
      </c>
      <c r="H23" s="191">
        <v>526830</v>
      </c>
      <c r="I23" s="192">
        <f>IFERROR(H23/G23-1,"-")</f>
        <v>-0.1238104424937716</v>
      </c>
      <c r="J23" s="191">
        <f t="shared" ref="J23:J33" si="5">H23-G23</f>
        <v>-74444</v>
      </c>
      <c r="K23" s="192">
        <f>H23/H$8</f>
        <v>2.0104384967737313E-2</v>
      </c>
      <c r="L23" s="103"/>
    </row>
    <row r="24" spans="1:12" x14ac:dyDescent="0.25">
      <c r="A24" s="193" t="s">
        <v>105</v>
      </c>
      <c r="B24" s="194" t="s">
        <v>105</v>
      </c>
      <c r="C24" s="195">
        <v>131807</v>
      </c>
      <c r="D24" s="195">
        <v>294333</v>
      </c>
      <c r="E24" s="195">
        <v>230301</v>
      </c>
      <c r="F24" s="195">
        <v>211250</v>
      </c>
      <c r="G24" s="195">
        <v>181841</v>
      </c>
      <c r="H24" s="195">
        <v>181882</v>
      </c>
      <c r="I24" s="196">
        <f>IFERROR(H24/G24-1,"-")</f>
        <v>2.2547170330122768E-4</v>
      </c>
      <c r="J24" s="195">
        <f t="shared" si="5"/>
        <v>41</v>
      </c>
      <c r="K24" s="196">
        <f>H24/H$8</f>
        <v>6.9408077495624739E-3</v>
      </c>
      <c r="L24" s="103"/>
    </row>
    <row r="25" spans="1:12" x14ac:dyDescent="0.25">
      <c r="A25" s="193" t="s">
        <v>102</v>
      </c>
      <c r="B25" s="194" t="s">
        <v>102</v>
      </c>
      <c r="C25" s="195">
        <v>156053</v>
      </c>
      <c r="D25" s="195">
        <v>462366</v>
      </c>
      <c r="E25" s="195">
        <v>516895</v>
      </c>
      <c r="F25" s="195">
        <v>445674</v>
      </c>
      <c r="G25" s="195">
        <v>419433</v>
      </c>
      <c r="H25" s="195">
        <v>344948</v>
      </c>
      <c r="I25" s="196">
        <f>IFERROR(H25/G25-1,"-")</f>
        <v>-0.1775849778152887</v>
      </c>
      <c r="J25" s="195">
        <f t="shared" si="5"/>
        <v>-74485</v>
      </c>
      <c r="K25" s="196">
        <f>H25/H$8</f>
        <v>1.316357721817484E-2</v>
      </c>
      <c r="L25" s="103"/>
    </row>
    <row r="26" spans="1:12" x14ac:dyDescent="0.25">
      <c r="A26" s="193"/>
      <c r="B26" s="190" t="s">
        <v>109</v>
      </c>
      <c r="C26" s="191">
        <v>2940213</v>
      </c>
      <c r="D26" s="191">
        <v>2296739</v>
      </c>
      <c r="E26" s="191">
        <v>8586579</v>
      </c>
      <c r="F26" s="191">
        <v>9420518</v>
      </c>
      <c r="G26" s="191">
        <v>9749663</v>
      </c>
      <c r="H26" s="191">
        <v>9247461</v>
      </c>
      <c r="I26" s="192">
        <f>IFERROR(H26/G26-1,"-")</f>
        <v>-5.1509677821684696E-2</v>
      </c>
      <c r="J26" s="191">
        <f t="shared" si="5"/>
        <v>-502202</v>
      </c>
      <c r="K26" s="192">
        <f>H26/H$8</f>
        <v>0.35289280397497691</v>
      </c>
      <c r="L26" s="103"/>
    </row>
    <row r="27" spans="1:12" s="74" customFormat="1" x14ac:dyDescent="0.25">
      <c r="A27" s="193"/>
      <c r="B27" s="194" t="s">
        <v>112</v>
      </c>
      <c r="C27" s="195">
        <v>1243159</v>
      </c>
      <c r="D27" s="195">
        <v>539309</v>
      </c>
      <c r="E27" s="195">
        <v>4332424</v>
      </c>
      <c r="F27" s="195">
        <v>4829410</v>
      </c>
      <c r="G27" s="195">
        <v>5052166</v>
      </c>
      <c r="H27" s="195">
        <v>4828289</v>
      </c>
      <c r="I27" s="196">
        <f t="shared" ref="I27:I34" si="6">IFERROR(H27/G27-1,"-")</f>
        <v>-4.4313072848358503E-2</v>
      </c>
      <c r="J27" s="195">
        <f t="shared" si="5"/>
        <v>-223877</v>
      </c>
      <c r="K27" s="196">
        <f t="shared" ref="K27:K34" si="7">H27/H$8</f>
        <v>0.18425256874417067</v>
      </c>
      <c r="L27" s="197"/>
    </row>
    <row r="28" spans="1:12" s="74" customFormat="1" x14ac:dyDescent="0.25">
      <c r="A28" s="193"/>
      <c r="B28" s="194" t="s">
        <v>115</v>
      </c>
      <c r="C28" s="195">
        <v>414667</v>
      </c>
      <c r="D28" s="195">
        <v>436975</v>
      </c>
      <c r="E28" s="195">
        <v>1019837</v>
      </c>
      <c r="F28" s="195">
        <v>1081490</v>
      </c>
      <c r="G28" s="195">
        <v>1062041</v>
      </c>
      <c r="H28" s="195">
        <v>977549</v>
      </c>
      <c r="I28" s="196">
        <f t="shared" si="6"/>
        <v>-7.9556250653223359E-2</v>
      </c>
      <c r="J28" s="195">
        <f t="shared" si="5"/>
        <v>-84492</v>
      </c>
      <c r="K28" s="196">
        <f t="shared" si="7"/>
        <v>3.7304294403937975E-2</v>
      </c>
      <c r="L28" s="197"/>
    </row>
    <row r="29" spans="1:12" x14ac:dyDescent="0.25">
      <c r="A29" s="193"/>
      <c r="B29" s="194" t="s">
        <v>118</v>
      </c>
      <c r="C29" s="195">
        <v>135620</v>
      </c>
      <c r="D29" s="195">
        <v>211817</v>
      </c>
      <c r="E29" s="195">
        <v>350575</v>
      </c>
      <c r="F29" s="195">
        <v>398844</v>
      </c>
      <c r="G29" s="195">
        <v>364141</v>
      </c>
      <c r="H29" s="195">
        <v>301364</v>
      </c>
      <c r="I29" s="196">
        <f t="shared" si="6"/>
        <v>-0.17239750536193399</v>
      </c>
      <c r="J29" s="195">
        <f t="shared" si="5"/>
        <v>-62777</v>
      </c>
      <c r="K29" s="196">
        <f t="shared" si="7"/>
        <v>1.1500366098014896E-2</v>
      </c>
      <c r="L29" s="103"/>
    </row>
    <row r="30" spans="1:12" x14ac:dyDescent="0.25">
      <c r="A30" s="193"/>
      <c r="B30" s="194" t="s">
        <v>125</v>
      </c>
      <c r="C30" s="195">
        <v>121574</v>
      </c>
      <c r="D30" s="195">
        <v>162431</v>
      </c>
      <c r="E30" s="195">
        <v>467069</v>
      </c>
      <c r="F30" s="195">
        <v>423389</v>
      </c>
      <c r="G30" s="195">
        <v>423920</v>
      </c>
      <c r="H30" s="195">
        <v>410540</v>
      </c>
      <c r="I30" s="196">
        <f t="shared" si="6"/>
        <v>-3.1562558973391219E-2</v>
      </c>
      <c r="J30" s="195">
        <f t="shared" si="5"/>
        <v>-13380</v>
      </c>
      <c r="K30" s="196">
        <f t="shared" si="7"/>
        <v>1.5666636684803215E-2</v>
      </c>
      <c r="L30" s="103"/>
    </row>
    <row r="31" spans="1:12" x14ac:dyDescent="0.25">
      <c r="A31" s="193"/>
      <c r="B31" s="194" t="s">
        <v>121</v>
      </c>
      <c r="C31" s="195">
        <v>188425</v>
      </c>
      <c r="D31" s="195">
        <v>209543</v>
      </c>
      <c r="E31" s="195">
        <v>472282</v>
      </c>
      <c r="F31" s="195">
        <v>444309</v>
      </c>
      <c r="G31" s="195">
        <v>458279</v>
      </c>
      <c r="H31" s="195">
        <v>422169</v>
      </c>
      <c r="I31" s="196">
        <f t="shared" si="6"/>
        <v>-7.8794795310280441E-2</v>
      </c>
      <c r="J31" s="195">
        <f t="shared" si="5"/>
        <v>-36110</v>
      </c>
      <c r="K31" s="196">
        <f t="shared" si="7"/>
        <v>1.6110411513096622E-2</v>
      </c>
      <c r="L31" s="103"/>
    </row>
    <row r="32" spans="1:12" x14ac:dyDescent="0.25">
      <c r="A32" s="193"/>
      <c r="B32" s="194" t="s">
        <v>130</v>
      </c>
      <c r="C32" s="195">
        <v>94459</v>
      </c>
      <c r="D32" s="195">
        <v>4836</v>
      </c>
      <c r="E32" s="195">
        <v>114576</v>
      </c>
      <c r="F32" s="195">
        <v>129191</v>
      </c>
      <c r="G32" s="195">
        <v>127582</v>
      </c>
      <c r="H32" s="195">
        <v>115026</v>
      </c>
      <c r="I32" s="196">
        <f t="shared" si="6"/>
        <v>-9.8415136931542024E-2</v>
      </c>
      <c r="J32" s="195">
        <f t="shared" si="5"/>
        <v>-12556</v>
      </c>
      <c r="K32" s="196">
        <f t="shared" si="7"/>
        <v>4.389512718142384E-3</v>
      </c>
      <c r="L32" s="103"/>
    </row>
    <row r="33" spans="1:12" x14ac:dyDescent="0.25">
      <c r="A33" s="193" t="s">
        <v>146</v>
      </c>
      <c r="B33" s="194" t="s">
        <v>133</v>
      </c>
      <c r="C33" s="195">
        <v>103139</v>
      </c>
      <c r="D33" s="195">
        <v>4182</v>
      </c>
      <c r="E33" s="195">
        <v>69505</v>
      </c>
      <c r="F33" s="195">
        <v>110811</v>
      </c>
      <c r="G33" s="195">
        <v>102902</v>
      </c>
      <c r="H33" s="195">
        <v>87745</v>
      </c>
      <c r="I33" s="196">
        <f t="shared" si="6"/>
        <v>-0.14729548502458645</v>
      </c>
      <c r="J33" s="195">
        <f t="shared" si="5"/>
        <v>-15157</v>
      </c>
      <c r="K33" s="196">
        <f t="shared" si="7"/>
        <v>3.3484411650705364E-3</v>
      </c>
      <c r="L33" s="103"/>
    </row>
    <row r="34" spans="1:12" x14ac:dyDescent="0.25">
      <c r="A34" s="193" t="s">
        <v>147</v>
      </c>
      <c r="B34" s="199" t="s">
        <v>147</v>
      </c>
      <c r="C34" s="200">
        <f t="shared" ref="C34" si="8">C26-SUM(C27:C33)</f>
        <v>639170</v>
      </c>
      <c r="D34" s="200">
        <f t="shared" ref="D34:H34" si="9">D26-SUM(D27:D33)</f>
        <v>727646</v>
      </c>
      <c r="E34" s="200">
        <f t="shared" si="9"/>
        <v>1760311</v>
      </c>
      <c r="F34" s="200">
        <f t="shared" si="9"/>
        <v>2003074</v>
      </c>
      <c r="G34" s="200">
        <f t="shared" si="9"/>
        <v>2158632</v>
      </c>
      <c r="H34" s="200">
        <f t="shared" si="9"/>
        <v>2104779</v>
      </c>
      <c r="I34" s="201">
        <f t="shared" si="6"/>
        <v>-2.4947744682743522E-2</v>
      </c>
      <c r="J34" s="200">
        <f>H34-G34</f>
        <v>-53853</v>
      </c>
      <c r="K34" s="201">
        <f t="shared" si="7"/>
        <v>8.032057264774059E-2</v>
      </c>
      <c r="L34" s="103"/>
    </row>
    <row r="35" spans="1:12" s="177" customFormat="1" x14ac:dyDescent="0.25">
      <c r="A35" s="193"/>
      <c r="B35" s="186" t="s">
        <v>47</v>
      </c>
      <c r="C35" s="184"/>
      <c r="D35" s="184"/>
      <c r="E35" s="184"/>
      <c r="F35" s="184"/>
      <c r="G35" s="184"/>
      <c r="H35" s="184"/>
      <c r="I35" s="184"/>
      <c r="J35" s="184"/>
      <c r="K35" s="184"/>
    </row>
    <row r="36" spans="1:12" x14ac:dyDescent="0.25">
      <c r="A36" s="193"/>
      <c r="B36" s="187" t="s">
        <v>70</v>
      </c>
      <c r="C36" s="209">
        <v>2404828</v>
      </c>
      <c r="D36" s="209">
        <v>1499277</v>
      </c>
      <c r="E36" s="209">
        <v>6487078</v>
      </c>
      <c r="F36" s="209">
        <v>7196338</v>
      </c>
      <c r="G36" s="209">
        <v>7492248</v>
      </c>
      <c r="H36" s="209">
        <v>7477039</v>
      </c>
      <c r="I36" s="210">
        <f>IFERROR(H36/G36-1,"-")</f>
        <v>-2.0299648383235169E-3</v>
      </c>
      <c r="J36" s="209">
        <f>H36-G36</f>
        <v>-15209</v>
      </c>
      <c r="K36" s="210">
        <f>H36/H$8</f>
        <v>0.28533164488504004</v>
      </c>
      <c r="L36" s="103"/>
    </row>
    <row r="37" spans="1:12" x14ac:dyDescent="0.25">
      <c r="A37" s="193" t="s">
        <v>98</v>
      </c>
      <c r="B37" s="190" t="s">
        <v>99</v>
      </c>
      <c r="C37" s="191">
        <v>174594</v>
      </c>
      <c r="D37" s="191">
        <v>253914</v>
      </c>
      <c r="E37" s="191">
        <v>407411</v>
      </c>
      <c r="F37" s="191">
        <v>450459</v>
      </c>
      <c r="G37" s="191">
        <v>438799</v>
      </c>
      <c r="H37" s="191">
        <v>447845</v>
      </c>
      <c r="I37" s="192">
        <f>IFERROR(H37/G37-1,"-")</f>
        <v>2.0615361475299521E-2</v>
      </c>
      <c r="J37" s="191">
        <f t="shared" ref="J37:J47" si="10">H37-G37</f>
        <v>9046</v>
      </c>
      <c r="K37" s="192">
        <f>H37/H$8</f>
        <v>1.7090234583976457E-2</v>
      </c>
      <c r="L37" s="103"/>
    </row>
    <row r="38" spans="1:12" x14ac:dyDescent="0.25">
      <c r="A38" s="193" t="s">
        <v>105</v>
      </c>
      <c r="B38" s="194" t="s">
        <v>105</v>
      </c>
      <c r="C38" s="195">
        <v>66491</v>
      </c>
      <c r="D38" s="195">
        <v>104061</v>
      </c>
      <c r="E38" s="195">
        <v>132386</v>
      </c>
      <c r="F38" s="195">
        <v>167419</v>
      </c>
      <c r="G38" s="195">
        <v>197752</v>
      </c>
      <c r="H38" s="195">
        <v>173496</v>
      </c>
      <c r="I38" s="196">
        <f>IFERROR(H38/G38-1,"-")</f>
        <v>-0.12265868360370569</v>
      </c>
      <c r="J38" s="195">
        <f t="shared" si="10"/>
        <v>-24256</v>
      </c>
      <c r="K38" s="196">
        <f>H38/H$8</f>
        <v>6.6207892002402161E-3</v>
      </c>
      <c r="L38" s="103"/>
    </row>
    <row r="39" spans="1:12" x14ac:dyDescent="0.25">
      <c r="A39" s="193" t="s">
        <v>102</v>
      </c>
      <c r="B39" s="194" t="s">
        <v>102</v>
      </c>
      <c r="C39" s="195">
        <v>108103</v>
      </c>
      <c r="D39" s="195">
        <v>149853</v>
      </c>
      <c r="E39" s="195">
        <v>275025</v>
      </c>
      <c r="F39" s="195">
        <v>283040</v>
      </c>
      <c r="G39" s="195">
        <v>241047</v>
      </c>
      <c r="H39" s="195">
        <v>274349</v>
      </c>
      <c r="I39" s="196">
        <f>IFERROR(H39/G39-1,"-")</f>
        <v>0.13815562940007542</v>
      </c>
      <c r="J39" s="195">
        <f t="shared" si="10"/>
        <v>33302</v>
      </c>
      <c r="K39" s="196">
        <f>H39/H$8</f>
        <v>1.0469445383736242E-2</v>
      </c>
      <c r="L39" s="103"/>
    </row>
    <row r="40" spans="1:12" x14ac:dyDescent="0.25">
      <c r="A40" s="193"/>
      <c r="B40" s="190" t="s">
        <v>109</v>
      </c>
      <c r="C40" s="191">
        <v>2230234</v>
      </c>
      <c r="D40" s="191">
        <v>1245363</v>
      </c>
      <c r="E40" s="191">
        <v>6079667</v>
      </c>
      <c r="F40" s="191">
        <v>6745879</v>
      </c>
      <c r="G40" s="191">
        <v>7053449</v>
      </c>
      <c r="H40" s="191">
        <v>7029194</v>
      </c>
      <c r="I40" s="192">
        <f>IFERROR(H40/G40-1,"-")</f>
        <v>-3.4387432304394672E-3</v>
      </c>
      <c r="J40" s="191">
        <f t="shared" si="10"/>
        <v>-24255</v>
      </c>
      <c r="K40" s="192">
        <f>H40/H$8</f>
        <v>0.26824141030106358</v>
      </c>
      <c r="L40" s="103"/>
    </row>
    <row r="41" spans="1:12" s="74" customFormat="1" x14ac:dyDescent="0.25">
      <c r="A41" s="193"/>
      <c r="B41" s="194" t="s">
        <v>112</v>
      </c>
      <c r="C41" s="195">
        <v>972971</v>
      </c>
      <c r="D41" s="195">
        <v>342910</v>
      </c>
      <c r="E41" s="195">
        <v>3165011</v>
      </c>
      <c r="F41" s="195">
        <v>3481161</v>
      </c>
      <c r="G41" s="195">
        <v>3721099</v>
      </c>
      <c r="H41" s="195">
        <v>3699191</v>
      </c>
      <c r="I41" s="196">
        <f t="shared" ref="I41:I48" si="11">IFERROR(H41/G41-1,"-")</f>
        <v>-5.8875079647168205E-3</v>
      </c>
      <c r="J41" s="195">
        <f t="shared" si="10"/>
        <v>-21908</v>
      </c>
      <c r="K41" s="196">
        <f t="shared" ref="K41:K48" si="12">H41/H$8</f>
        <v>0.14116500566252713</v>
      </c>
      <c r="L41" s="197"/>
    </row>
    <row r="42" spans="1:12" s="74" customFormat="1" x14ac:dyDescent="0.25">
      <c r="A42" s="193"/>
      <c r="B42" s="194" t="s">
        <v>115</v>
      </c>
      <c r="C42" s="195">
        <v>118015</v>
      </c>
      <c r="D42" s="195">
        <v>72820</v>
      </c>
      <c r="E42" s="195">
        <v>215817</v>
      </c>
      <c r="F42" s="195">
        <v>254303</v>
      </c>
      <c r="G42" s="195">
        <v>245100</v>
      </c>
      <c r="H42" s="195">
        <v>256838</v>
      </c>
      <c r="I42" s="196">
        <f t="shared" si="11"/>
        <v>4.789065687474503E-2</v>
      </c>
      <c r="J42" s="195">
        <f t="shared" si="10"/>
        <v>11738</v>
      </c>
      <c r="K42" s="196">
        <f t="shared" si="12"/>
        <v>9.8012072705497347E-3</v>
      </c>
      <c r="L42" s="197"/>
    </row>
    <row r="43" spans="1:12" x14ac:dyDescent="0.25">
      <c r="A43" s="193"/>
      <c r="B43" s="194" t="s">
        <v>118</v>
      </c>
      <c r="C43" s="195">
        <v>53624</v>
      </c>
      <c r="D43" s="195">
        <v>82050</v>
      </c>
      <c r="E43" s="195">
        <v>144404</v>
      </c>
      <c r="F43" s="195">
        <v>184615</v>
      </c>
      <c r="G43" s="195">
        <v>185724</v>
      </c>
      <c r="H43" s="195">
        <v>187798</v>
      </c>
      <c r="I43" s="196">
        <f t="shared" si="11"/>
        <v>1.1167108182033481E-2</v>
      </c>
      <c r="J43" s="195">
        <f t="shared" si="10"/>
        <v>2074</v>
      </c>
      <c r="K43" s="196">
        <f t="shared" si="12"/>
        <v>7.1665685100907924E-3</v>
      </c>
      <c r="L43" s="103"/>
    </row>
    <row r="44" spans="1:12" x14ac:dyDescent="0.25">
      <c r="A44" s="193"/>
      <c r="B44" s="194" t="s">
        <v>125</v>
      </c>
      <c r="C44" s="195">
        <v>102738</v>
      </c>
      <c r="D44" s="195">
        <v>118937</v>
      </c>
      <c r="E44" s="195">
        <v>374048</v>
      </c>
      <c r="F44" s="195">
        <v>377945</v>
      </c>
      <c r="G44" s="195">
        <v>372670</v>
      </c>
      <c r="H44" s="195">
        <v>349409</v>
      </c>
      <c r="I44" s="196">
        <f t="shared" si="11"/>
        <v>-6.2417151903829127E-2</v>
      </c>
      <c r="J44" s="195">
        <f t="shared" si="10"/>
        <v>-23261</v>
      </c>
      <c r="K44" s="196">
        <f t="shared" si="12"/>
        <v>1.3333813653725352E-2</v>
      </c>
      <c r="L44" s="103"/>
    </row>
    <row r="45" spans="1:12" x14ac:dyDescent="0.25">
      <c r="A45" s="193"/>
      <c r="B45" s="194" t="s">
        <v>121</v>
      </c>
      <c r="C45" s="195">
        <v>109378</v>
      </c>
      <c r="D45" s="195">
        <v>80851</v>
      </c>
      <c r="E45" s="195">
        <v>225141</v>
      </c>
      <c r="F45" s="195">
        <v>269310</v>
      </c>
      <c r="G45" s="195">
        <v>269282</v>
      </c>
      <c r="H45" s="195">
        <v>242765</v>
      </c>
      <c r="I45" s="196">
        <f t="shared" si="11"/>
        <v>-9.8472976285084002E-2</v>
      </c>
      <c r="J45" s="195">
        <f t="shared" si="10"/>
        <v>-26517</v>
      </c>
      <c r="K45" s="196">
        <f t="shared" si="12"/>
        <v>9.2641668407128473E-3</v>
      </c>
      <c r="L45" s="103"/>
    </row>
    <row r="46" spans="1:12" x14ac:dyDescent="0.25">
      <c r="A46" s="193"/>
      <c r="B46" s="194" t="s">
        <v>130</v>
      </c>
      <c r="C46" s="195">
        <v>85862</v>
      </c>
      <c r="D46" s="195">
        <v>17401</v>
      </c>
      <c r="E46" s="195">
        <v>122681</v>
      </c>
      <c r="F46" s="195">
        <v>129599</v>
      </c>
      <c r="G46" s="195">
        <v>125590</v>
      </c>
      <c r="H46" s="195">
        <v>131454</v>
      </c>
      <c r="I46" s="196">
        <f t="shared" si="11"/>
        <v>4.669161557448831E-2</v>
      </c>
      <c r="J46" s="195">
        <f t="shared" si="10"/>
        <v>5864</v>
      </c>
      <c r="K46" s="196">
        <f t="shared" si="12"/>
        <v>5.0164224162423188E-3</v>
      </c>
      <c r="L46" s="103"/>
    </row>
    <row r="47" spans="1:12" x14ac:dyDescent="0.25">
      <c r="A47" s="193" t="s">
        <v>146</v>
      </c>
      <c r="B47" s="194" t="s">
        <v>133</v>
      </c>
      <c r="C47" s="195">
        <v>139118</v>
      </c>
      <c r="D47" s="195">
        <v>16081</v>
      </c>
      <c r="E47" s="195">
        <v>101645</v>
      </c>
      <c r="F47" s="195">
        <v>131609</v>
      </c>
      <c r="G47" s="195">
        <v>138398</v>
      </c>
      <c r="H47" s="195">
        <v>119558</v>
      </c>
      <c r="I47" s="196">
        <f t="shared" si="11"/>
        <v>-0.13612913481408695</v>
      </c>
      <c r="J47" s="195">
        <f t="shared" si="10"/>
        <v>-18840</v>
      </c>
      <c r="K47" s="196">
        <f t="shared" si="12"/>
        <v>4.5624585881076209E-3</v>
      </c>
      <c r="L47" s="103"/>
    </row>
    <row r="48" spans="1:12" x14ac:dyDescent="0.25">
      <c r="A48" s="193" t="s">
        <v>147</v>
      </c>
      <c r="B48" s="199" t="s">
        <v>147</v>
      </c>
      <c r="C48" s="200">
        <f t="shared" ref="C48" si="13">C40-SUM(C41:C47)</f>
        <v>648528</v>
      </c>
      <c r="D48" s="200">
        <f t="shared" ref="D48:H48" si="14">D40-SUM(D41:D47)</f>
        <v>514313</v>
      </c>
      <c r="E48" s="200">
        <f t="shared" si="14"/>
        <v>1730920</v>
      </c>
      <c r="F48" s="200">
        <f t="shared" si="14"/>
        <v>1917337</v>
      </c>
      <c r="G48" s="200">
        <f t="shared" si="14"/>
        <v>1995586</v>
      </c>
      <c r="H48" s="200">
        <f t="shared" si="14"/>
        <v>2042181</v>
      </c>
      <c r="I48" s="201">
        <f t="shared" si="11"/>
        <v>2.3349031312105861E-2</v>
      </c>
      <c r="J48" s="200">
        <f>H48-G48</f>
        <v>46595</v>
      </c>
      <c r="K48" s="201">
        <f t="shared" si="12"/>
        <v>7.7931767359107784E-2</v>
      </c>
      <c r="L48" s="103"/>
    </row>
    <row r="49" spans="1:12" s="177" customFormat="1" x14ac:dyDescent="0.25">
      <c r="A49" s="193"/>
      <c r="B49" s="186" t="s">
        <v>48</v>
      </c>
      <c r="C49" s="184"/>
      <c r="D49" s="184"/>
      <c r="E49" s="184"/>
      <c r="F49" s="184"/>
      <c r="G49" s="184"/>
      <c r="H49" s="184"/>
      <c r="I49" s="184"/>
      <c r="J49" s="184"/>
      <c r="K49" s="184"/>
    </row>
    <row r="50" spans="1:12" x14ac:dyDescent="0.25">
      <c r="A50" s="193"/>
      <c r="B50" s="187" t="s">
        <v>70</v>
      </c>
      <c r="C50" s="209">
        <v>58399</v>
      </c>
      <c r="D50" s="209">
        <v>52951</v>
      </c>
      <c r="E50" s="209">
        <v>119118</v>
      </c>
      <c r="F50" s="209">
        <v>124202</v>
      </c>
      <c r="G50" s="209">
        <v>142297</v>
      </c>
      <c r="H50" s="209">
        <v>144492</v>
      </c>
      <c r="I50" s="210">
        <f>IFERROR(H50/G50-1,"-")</f>
        <v>1.5425483320098188E-2</v>
      </c>
      <c r="J50" s="209">
        <f>H50-G50</f>
        <v>2195</v>
      </c>
      <c r="K50" s="210">
        <f>H50/H$8</f>
        <v>5.5139661613011785E-3</v>
      </c>
      <c r="L50" s="103"/>
    </row>
    <row r="51" spans="1:12" x14ac:dyDescent="0.25">
      <c r="A51" s="193" t="s">
        <v>98</v>
      </c>
      <c r="B51" s="190" t="s">
        <v>99</v>
      </c>
      <c r="C51" s="191">
        <v>5882</v>
      </c>
      <c r="D51" s="191">
        <v>13368</v>
      </c>
      <c r="E51" s="191">
        <v>13227</v>
      </c>
      <c r="F51" s="191">
        <v>31470</v>
      </c>
      <c r="G51" s="191">
        <v>20887</v>
      </c>
      <c r="H51" s="191">
        <v>20764</v>
      </c>
      <c r="I51" s="192">
        <f>IFERROR(H51/G51-1,"-")</f>
        <v>-5.8888303729592861E-3</v>
      </c>
      <c r="J51" s="191">
        <f t="shared" ref="J51:J61" si="15">H51-G51</f>
        <v>-123</v>
      </c>
      <c r="K51" s="192">
        <f>H51/H$8</f>
        <v>7.9237600263860756E-4</v>
      </c>
      <c r="L51" s="103"/>
    </row>
    <row r="52" spans="1:12" x14ac:dyDescent="0.25">
      <c r="A52" s="193" t="s">
        <v>105</v>
      </c>
      <c r="B52" s="194" t="s">
        <v>105</v>
      </c>
      <c r="C52" s="195">
        <v>4149</v>
      </c>
      <c r="D52" s="195">
        <v>5923</v>
      </c>
      <c r="E52" s="195">
        <v>4038</v>
      </c>
      <c r="F52" s="195">
        <v>21028</v>
      </c>
      <c r="G52" s="195">
        <v>11806</v>
      </c>
      <c r="H52" s="195">
        <v>10987</v>
      </c>
      <c r="I52" s="196">
        <f>IFERROR(H52/G52-1,"-")</f>
        <v>-6.9371506013891193E-2</v>
      </c>
      <c r="J52" s="195">
        <f t="shared" si="15"/>
        <v>-819</v>
      </c>
      <c r="K52" s="196">
        <f>H52/H$8</f>
        <v>4.1927543541660472E-4</v>
      </c>
      <c r="L52" s="103"/>
    </row>
    <row r="53" spans="1:12" x14ac:dyDescent="0.25">
      <c r="A53" s="193" t="s">
        <v>102</v>
      </c>
      <c r="B53" s="194" t="s">
        <v>102</v>
      </c>
      <c r="C53" s="195">
        <v>1733</v>
      </c>
      <c r="D53" s="195">
        <v>7445</v>
      </c>
      <c r="E53" s="195">
        <v>9189</v>
      </c>
      <c r="F53" s="195">
        <v>10442</v>
      </c>
      <c r="G53" s="195">
        <v>9081</v>
      </c>
      <c r="H53" s="195">
        <v>9777</v>
      </c>
      <c r="I53" s="196">
        <f>IFERROR(H53/G53-1,"-")</f>
        <v>7.6643541460191589E-2</v>
      </c>
      <c r="J53" s="195">
        <f t="shared" si="15"/>
        <v>696</v>
      </c>
      <c r="K53" s="196">
        <f>H53/H$8</f>
        <v>3.7310056722200278E-4</v>
      </c>
      <c r="L53" s="103"/>
    </row>
    <row r="54" spans="1:12" x14ac:dyDescent="0.25">
      <c r="A54" s="193"/>
      <c r="B54" s="190" t="s">
        <v>109</v>
      </c>
      <c r="C54" s="191">
        <v>52517</v>
      </c>
      <c r="D54" s="191">
        <v>39583</v>
      </c>
      <c r="E54" s="191">
        <v>105891</v>
      </c>
      <c r="F54" s="191">
        <v>92732</v>
      </c>
      <c r="G54" s="191">
        <v>121410</v>
      </c>
      <c r="H54" s="191">
        <v>123728</v>
      </c>
      <c r="I54" s="192">
        <f>IFERROR(H54/G54-1,"-")</f>
        <v>1.9092331768388204E-2</v>
      </c>
      <c r="J54" s="191">
        <f t="shared" si="15"/>
        <v>2318</v>
      </c>
      <c r="K54" s="192">
        <f>H54/H$8</f>
        <v>4.7215901586625713E-3</v>
      </c>
      <c r="L54" s="103"/>
    </row>
    <row r="55" spans="1:12" s="74" customFormat="1" x14ac:dyDescent="0.25">
      <c r="A55" s="193"/>
      <c r="B55" s="194" t="s">
        <v>112</v>
      </c>
      <c r="C55" s="195">
        <v>19108</v>
      </c>
      <c r="D55" s="195">
        <v>7045</v>
      </c>
      <c r="E55" s="195">
        <v>48933</v>
      </c>
      <c r="F55" s="195">
        <v>39565</v>
      </c>
      <c r="G55" s="195">
        <v>51736</v>
      </c>
      <c r="H55" s="195">
        <v>51604</v>
      </c>
      <c r="I55" s="196">
        <f t="shared" ref="I55:I62" si="16">IFERROR(H55/G55-1,"-")</f>
        <v>-2.5514148755219068E-3</v>
      </c>
      <c r="J55" s="195">
        <f t="shared" si="15"/>
        <v>-132</v>
      </c>
      <c r="K55" s="196">
        <f t="shared" ref="K55:K62" si="17">H55/H$8</f>
        <v>1.9692627258795369E-3</v>
      </c>
      <c r="L55" s="197"/>
    </row>
    <row r="56" spans="1:12" s="74" customFormat="1" x14ac:dyDescent="0.25">
      <c r="A56" s="193"/>
      <c r="B56" s="194" t="s">
        <v>115</v>
      </c>
      <c r="C56" s="195">
        <v>15109</v>
      </c>
      <c r="D56" s="195">
        <v>14304</v>
      </c>
      <c r="E56" s="195">
        <v>23868</v>
      </c>
      <c r="F56" s="195">
        <v>19386</v>
      </c>
      <c r="G56" s="195">
        <v>27209</v>
      </c>
      <c r="H56" s="195">
        <v>27312</v>
      </c>
      <c r="I56" s="196">
        <f t="shared" si="16"/>
        <v>3.7855121467160746E-3</v>
      </c>
      <c r="J56" s="195">
        <f t="shared" si="15"/>
        <v>103</v>
      </c>
      <c r="K56" s="196">
        <f t="shared" si="17"/>
        <v>1.042254545562784E-3</v>
      </c>
      <c r="L56" s="197"/>
    </row>
    <row r="57" spans="1:12" x14ac:dyDescent="0.25">
      <c r="A57" s="193"/>
      <c r="B57" s="194" t="s">
        <v>118</v>
      </c>
      <c r="C57" s="195">
        <v>1405</v>
      </c>
      <c r="D57" s="195">
        <v>2642</v>
      </c>
      <c r="E57" s="195">
        <v>4506</v>
      </c>
      <c r="F57" s="195">
        <v>4837</v>
      </c>
      <c r="G57" s="195">
        <v>5012</v>
      </c>
      <c r="H57" s="195">
        <v>5286</v>
      </c>
      <c r="I57" s="196">
        <f t="shared" si="16"/>
        <v>5.4668794892258621E-2</v>
      </c>
      <c r="J57" s="195">
        <f t="shared" si="15"/>
        <v>274</v>
      </c>
      <c r="K57" s="196">
        <f t="shared" si="17"/>
        <v>2.0171930022864956E-4</v>
      </c>
      <c r="L57" s="103"/>
    </row>
    <row r="58" spans="1:12" x14ac:dyDescent="0.25">
      <c r="A58" s="193"/>
      <c r="B58" s="194" t="s">
        <v>125</v>
      </c>
      <c r="C58" s="195">
        <v>911</v>
      </c>
      <c r="D58" s="195">
        <v>1290</v>
      </c>
      <c r="E58" s="195">
        <v>2182</v>
      </c>
      <c r="F58" s="195">
        <v>1414</v>
      </c>
      <c r="G58" s="195">
        <v>3485</v>
      </c>
      <c r="H58" s="195">
        <v>3575</v>
      </c>
      <c r="I58" s="196">
        <f t="shared" si="16"/>
        <v>2.582496413199431E-2</v>
      </c>
      <c r="J58" s="195">
        <f t="shared" si="15"/>
        <v>90</v>
      </c>
      <c r="K58" s="196">
        <f t="shared" si="17"/>
        <v>1.3642574693859669E-4</v>
      </c>
      <c r="L58" s="103"/>
    </row>
    <row r="59" spans="1:12" x14ac:dyDescent="0.25">
      <c r="A59" s="193"/>
      <c r="B59" s="194" t="s">
        <v>121</v>
      </c>
      <c r="C59" s="195">
        <v>803</v>
      </c>
      <c r="D59" s="195">
        <v>764</v>
      </c>
      <c r="E59" s="195">
        <v>1904</v>
      </c>
      <c r="F59" s="195">
        <v>1892</v>
      </c>
      <c r="G59" s="195">
        <v>2225</v>
      </c>
      <c r="H59" s="195">
        <v>2137</v>
      </c>
      <c r="I59" s="196">
        <f t="shared" si="16"/>
        <v>-3.9550561797752848E-2</v>
      </c>
      <c r="J59" s="195">
        <f t="shared" si="15"/>
        <v>-88</v>
      </c>
      <c r="K59" s="196">
        <f t="shared" si="17"/>
        <v>8.1550159778400326E-5</v>
      </c>
      <c r="L59" s="103"/>
    </row>
    <row r="60" spans="1:12" x14ac:dyDescent="0.25">
      <c r="A60" s="193"/>
      <c r="B60" s="194" t="s">
        <v>130</v>
      </c>
      <c r="C60" s="195">
        <v>713</v>
      </c>
      <c r="D60" s="195">
        <v>224</v>
      </c>
      <c r="E60" s="195">
        <v>298</v>
      </c>
      <c r="F60" s="195">
        <v>583</v>
      </c>
      <c r="G60" s="195">
        <v>450</v>
      </c>
      <c r="H60" s="195">
        <v>652</v>
      </c>
      <c r="I60" s="196">
        <f t="shared" si="16"/>
        <v>0.44888888888888889</v>
      </c>
      <c r="J60" s="195">
        <f t="shared" si="15"/>
        <v>202</v>
      </c>
      <c r="K60" s="196">
        <f t="shared" si="17"/>
        <v>2.4881003357752462E-5</v>
      </c>
      <c r="L60" s="103"/>
    </row>
    <row r="61" spans="1:12" x14ac:dyDescent="0.25">
      <c r="A61" s="193" t="s">
        <v>146</v>
      </c>
      <c r="B61" s="194" t="s">
        <v>133</v>
      </c>
      <c r="C61" s="195">
        <v>1488</v>
      </c>
      <c r="D61" s="195">
        <v>112</v>
      </c>
      <c r="E61" s="195">
        <v>258</v>
      </c>
      <c r="F61" s="195">
        <v>458</v>
      </c>
      <c r="G61" s="195">
        <v>387</v>
      </c>
      <c r="H61" s="195">
        <v>1021</v>
      </c>
      <c r="I61" s="196">
        <f t="shared" si="16"/>
        <v>1.6382428940568476</v>
      </c>
      <c r="J61" s="195">
        <f t="shared" si="15"/>
        <v>634</v>
      </c>
      <c r="K61" s="196">
        <f t="shared" si="17"/>
        <v>3.8962430104701323E-5</v>
      </c>
      <c r="L61" s="103"/>
    </row>
    <row r="62" spans="1:12" x14ac:dyDescent="0.25">
      <c r="A62" s="193" t="s">
        <v>147</v>
      </c>
      <c r="B62" s="199" t="s">
        <v>147</v>
      </c>
      <c r="C62" s="200">
        <f t="shared" ref="C62" si="18">C54-SUM(C55:C61)</f>
        <v>12980</v>
      </c>
      <c r="D62" s="200">
        <f t="shared" ref="D62:H62" si="19">D54-SUM(D55:D61)</f>
        <v>13202</v>
      </c>
      <c r="E62" s="200">
        <f t="shared" si="19"/>
        <v>23942</v>
      </c>
      <c r="F62" s="200">
        <f t="shared" si="19"/>
        <v>24597</v>
      </c>
      <c r="G62" s="200">
        <f t="shared" si="19"/>
        <v>30906</v>
      </c>
      <c r="H62" s="200">
        <f t="shared" si="19"/>
        <v>32141</v>
      </c>
      <c r="I62" s="201">
        <f t="shared" si="16"/>
        <v>3.9959878340775301E-2</v>
      </c>
      <c r="J62" s="200">
        <f>H62-G62</f>
        <v>1235</v>
      </c>
      <c r="K62" s="201">
        <f t="shared" si="17"/>
        <v>1.22653424681215E-3</v>
      </c>
      <c r="L62" s="103"/>
    </row>
    <row r="63" spans="1:12" s="177" customFormat="1" x14ac:dyDescent="0.25">
      <c r="A63" s="193"/>
      <c r="B63" s="186" t="s">
        <v>49</v>
      </c>
      <c r="C63" s="184"/>
      <c r="D63" s="184"/>
      <c r="E63" s="184"/>
      <c r="F63" s="184"/>
      <c r="G63" s="184"/>
      <c r="H63" s="184"/>
      <c r="I63" s="184"/>
      <c r="J63" s="184"/>
      <c r="K63" s="184"/>
    </row>
    <row r="64" spans="1:12" x14ac:dyDescent="0.25">
      <c r="A64" s="193"/>
      <c r="B64" s="187" t="s">
        <v>70</v>
      </c>
      <c r="C64" s="209">
        <v>195183</v>
      </c>
      <c r="D64" s="209">
        <v>206512</v>
      </c>
      <c r="E64" s="209">
        <v>728683</v>
      </c>
      <c r="F64" s="209">
        <v>789742</v>
      </c>
      <c r="G64" s="209">
        <v>1039569</v>
      </c>
      <c r="H64" s="209">
        <v>832293</v>
      </c>
      <c r="I64" s="210">
        <f>IFERROR(H64/G64-1,"-")</f>
        <v>-0.19938647651093866</v>
      </c>
      <c r="J64" s="209">
        <f>H64-G64</f>
        <v>-207276</v>
      </c>
      <c r="K64" s="210">
        <f>H64/H$8</f>
        <v>3.1761173201892437E-2</v>
      </c>
      <c r="L64" s="103"/>
    </row>
    <row r="65" spans="1:12" x14ac:dyDescent="0.25">
      <c r="A65" s="193" t="s">
        <v>98</v>
      </c>
      <c r="B65" s="190" t="s">
        <v>99</v>
      </c>
      <c r="C65" s="191">
        <v>56889</v>
      </c>
      <c r="D65" s="191">
        <v>60647</v>
      </c>
      <c r="E65" s="191">
        <v>105850</v>
      </c>
      <c r="F65" s="191">
        <v>140500</v>
      </c>
      <c r="G65" s="191">
        <v>206949</v>
      </c>
      <c r="H65" s="191">
        <v>146180</v>
      </c>
      <c r="I65" s="192">
        <f>IFERROR(H65/G65-1,"-")</f>
        <v>-0.29364239498620437</v>
      </c>
      <c r="J65" s="191">
        <f t="shared" ref="J65:J75" si="20">H65-G65</f>
        <v>-60769</v>
      </c>
      <c r="K65" s="192">
        <f>H65/H$8</f>
        <v>5.5783820104850536E-3</v>
      </c>
      <c r="L65" s="103"/>
    </row>
    <row r="66" spans="1:12" x14ac:dyDescent="0.25">
      <c r="A66" s="193" t="s">
        <v>105</v>
      </c>
      <c r="B66" s="194" t="s">
        <v>105</v>
      </c>
      <c r="C66" s="195">
        <v>17826</v>
      </c>
      <c r="D66" s="195">
        <v>45811</v>
      </c>
      <c r="E66" s="195">
        <v>70658</v>
      </c>
      <c r="F66" s="195">
        <v>80295</v>
      </c>
      <c r="G66" s="195">
        <v>103269</v>
      </c>
      <c r="H66" s="195">
        <v>32664</v>
      </c>
      <c r="I66" s="196">
        <f>IFERROR(H66/G66-1,"-")</f>
        <v>-0.68369985184324433</v>
      </c>
      <c r="J66" s="195">
        <f t="shared" si="20"/>
        <v>-70605</v>
      </c>
      <c r="K66" s="196">
        <f>H66/H$8</f>
        <v>1.2464924749656847E-3</v>
      </c>
      <c r="L66" s="103"/>
    </row>
    <row r="67" spans="1:12" x14ac:dyDescent="0.25">
      <c r="A67" s="193" t="s">
        <v>102</v>
      </c>
      <c r="B67" s="194" t="s">
        <v>102</v>
      </c>
      <c r="C67" s="195">
        <v>39063</v>
      </c>
      <c r="D67" s="195">
        <v>14836</v>
      </c>
      <c r="E67" s="195">
        <v>35192</v>
      </c>
      <c r="F67" s="195">
        <v>60205</v>
      </c>
      <c r="G67" s="195">
        <v>103680</v>
      </c>
      <c r="H67" s="195">
        <v>113516</v>
      </c>
      <c r="I67" s="196">
        <f>IFERROR(H67/G67-1,"-")</f>
        <v>9.4868827160493829E-2</v>
      </c>
      <c r="J67" s="195">
        <f t="shared" si="20"/>
        <v>9836</v>
      </c>
      <c r="K67" s="196">
        <f>H67/H$8</f>
        <v>4.3318895355193687E-3</v>
      </c>
      <c r="L67" s="103"/>
    </row>
    <row r="68" spans="1:12" x14ac:dyDescent="0.25">
      <c r="A68" s="193"/>
      <c r="B68" s="190" t="s">
        <v>109</v>
      </c>
      <c r="C68" s="191">
        <v>138294</v>
      </c>
      <c r="D68" s="191">
        <v>145865</v>
      </c>
      <c r="E68" s="191">
        <v>622833</v>
      </c>
      <c r="F68" s="191">
        <v>649242</v>
      </c>
      <c r="G68" s="191">
        <v>832620</v>
      </c>
      <c r="H68" s="191">
        <v>686113</v>
      </c>
      <c r="I68" s="192">
        <f>IFERROR(H68/G68-1,"-")</f>
        <v>-0.17595902092190918</v>
      </c>
      <c r="J68" s="191">
        <f t="shared" si="20"/>
        <v>-146507</v>
      </c>
      <c r="K68" s="192">
        <f>H68/H$8</f>
        <v>2.6182791191407383E-2</v>
      </c>
      <c r="L68" s="103"/>
    </row>
    <row r="69" spans="1:12" s="74" customFormat="1" x14ac:dyDescent="0.25">
      <c r="A69" s="193"/>
      <c r="B69" s="194" t="s">
        <v>112</v>
      </c>
      <c r="C69" s="195">
        <v>50022</v>
      </c>
      <c r="D69" s="195">
        <v>26530</v>
      </c>
      <c r="E69" s="195">
        <v>299464</v>
      </c>
      <c r="F69" s="195">
        <v>244920</v>
      </c>
      <c r="G69" s="195">
        <v>355629</v>
      </c>
      <c r="H69" s="195">
        <v>340232</v>
      </c>
      <c r="I69" s="196">
        <f t="shared" ref="I69:I76" si="21">IFERROR(H69/G69-1,"-")</f>
        <v>-4.3295119351908884E-2</v>
      </c>
      <c r="J69" s="195">
        <f t="shared" si="20"/>
        <v>-15397</v>
      </c>
      <c r="K69" s="196">
        <f t="shared" ref="K69:K76" si="22">H69/H$8</f>
        <v>1.2983609715360177E-2</v>
      </c>
      <c r="L69" s="197"/>
    </row>
    <row r="70" spans="1:12" s="74" customFormat="1" x14ac:dyDescent="0.25">
      <c r="A70" s="193"/>
      <c r="B70" s="194" t="s">
        <v>115</v>
      </c>
      <c r="C70" s="195">
        <v>20686</v>
      </c>
      <c r="D70" s="195">
        <v>23664</v>
      </c>
      <c r="E70" s="195">
        <v>43033</v>
      </c>
      <c r="F70" s="195">
        <v>55732</v>
      </c>
      <c r="G70" s="195">
        <v>51511</v>
      </c>
      <c r="H70" s="195">
        <v>53722</v>
      </c>
      <c r="I70" s="196">
        <f t="shared" si="21"/>
        <v>4.2922870843120853E-2</v>
      </c>
      <c r="J70" s="195">
        <f t="shared" si="20"/>
        <v>2211</v>
      </c>
      <c r="K70" s="196">
        <f t="shared" si="22"/>
        <v>2.0500878257441375E-3</v>
      </c>
      <c r="L70" s="197"/>
    </row>
    <row r="71" spans="1:12" x14ac:dyDescent="0.25">
      <c r="A71" s="193"/>
      <c r="B71" s="194" t="s">
        <v>118</v>
      </c>
      <c r="C71" s="195">
        <v>16601</v>
      </c>
      <c r="D71" s="195">
        <v>18461</v>
      </c>
      <c r="E71" s="195">
        <v>80284</v>
      </c>
      <c r="F71" s="195">
        <v>77308</v>
      </c>
      <c r="G71" s="195">
        <v>97520</v>
      </c>
      <c r="H71" s="195">
        <v>52660</v>
      </c>
      <c r="I71" s="196">
        <f t="shared" si="21"/>
        <v>-0.46000820344544713</v>
      </c>
      <c r="J71" s="195">
        <f t="shared" si="20"/>
        <v>-44860</v>
      </c>
      <c r="K71" s="196">
        <f t="shared" si="22"/>
        <v>2.0095607926675532E-3</v>
      </c>
      <c r="L71" s="103"/>
    </row>
    <row r="72" spans="1:12" x14ac:dyDescent="0.25">
      <c r="A72" s="193"/>
      <c r="B72" s="194" t="s">
        <v>125</v>
      </c>
      <c r="C72" s="195">
        <v>1561</v>
      </c>
      <c r="D72" s="195">
        <v>7467</v>
      </c>
      <c r="E72" s="195">
        <v>17485</v>
      </c>
      <c r="F72" s="195">
        <v>19544</v>
      </c>
      <c r="G72" s="195">
        <v>34657</v>
      </c>
      <c r="H72" s="195">
        <v>30110</v>
      </c>
      <c r="I72" s="196">
        <f t="shared" si="21"/>
        <v>-0.13120004616671954</v>
      </c>
      <c r="J72" s="195">
        <f t="shared" si="20"/>
        <v>-4547</v>
      </c>
      <c r="K72" s="196">
        <f t="shared" si="22"/>
        <v>1.1490291581317893E-3</v>
      </c>
      <c r="L72" s="103"/>
    </row>
    <row r="73" spans="1:12" x14ac:dyDescent="0.25">
      <c r="A73" s="193"/>
      <c r="B73" s="194" t="s">
        <v>121</v>
      </c>
      <c r="C73" s="195">
        <v>5257</v>
      </c>
      <c r="D73" s="195">
        <v>11724</v>
      </c>
      <c r="E73" s="195">
        <v>18083</v>
      </c>
      <c r="F73" s="195">
        <v>14195</v>
      </c>
      <c r="G73" s="195">
        <v>21106</v>
      </c>
      <c r="H73" s="195">
        <v>13919</v>
      </c>
      <c r="I73" s="196">
        <f t="shared" si="21"/>
        <v>-0.34051928361603334</v>
      </c>
      <c r="J73" s="195">
        <f t="shared" si="20"/>
        <v>-7187</v>
      </c>
      <c r="K73" s="196">
        <f t="shared" si="22"/>
        <v>5.3116362843030136E-4</v>
      </c>
      <c r="L73" s="103"/>
    </row>
    <row r="74" spans="1:12" x14ac:dyDescent="0.25">
      <c r="A74" s="193"/>
      <c r="B74" s="194" t="s">
        <v>130</v>
      </c>
      <c r="C74" s="195">
        <v>5452</v>
      </c>
      <c r="D74" s="195">
        <v>68</v>
      </c>
      <c r="E74" s="195">
        <v>7866</v>
      </c>
      <c r="F74" s="195">
        <v>23161</v>
      </c>
      <c r="G74" s="195">
        <v>17511</v>
      </c>
      <c r="H74" s="195">
        <v>12235</v>
      </c>
      <c r="I74" s="196">
        <f t="shared" si="21"/>
        <v>-0.30129632802238593</v>
      </c>
      <c r="J74" s="195">
        <f t="shared" si="20"/>
        <v>-5276</v>
      </c>
      <c r="K74" s="196">
        <f t="shared" si="22"/>
        <v>4.6690042343880574E-4</v>
      </c>
      <c r="L74" s="103"/>
    </row>
    <row r="75" spans="1:12" x14ac:dyDescent="0.25">
      <c r="A75" s="193" t="s">
        <v>146</v>
      </c>
      <c r="B75" s="194" t="s">
        <v>133</v>
      </c>
      <c r="C75" s="195">
        <v>4548</v>
      </c>
      <c r="D75" s="195">
        <v>78</v>
      </c>
      <c r="E75" s="195">
        <v>2796</v>
      </c>
      <c r="F75" s="195">
        <v>6974</v>
      </c>
      <c r="G75" s="195">
        <v>12214</v>
      </c>
      <c r="H75" s="195">
        <v>15394</v>
      </c>
      <c r="I75" s="196">
        <f t="shared" si="21"/>
        <v>0.26035696741444236</v>
      </c>
      <c r="J75" s="195">
        <f t="shared" si="20"/>
        <v>3180</v>
      </c>
      <c r="K75" s="196">
        <f t="shared" si="22"/>
        <v>5.8745117437000217E-4</v>
      </c>
      <c r="L75" s="103"/>
    </row>
    <row r="76" spans="1:12" x14ac:dyDescent="0.25">
      <c r="A76" s="193" t="s">
        <v>147</v>
      </c>
      <c r="B76" s="199" t="s">
        <v>147</v>
      </c>
      <c r="C76" s="200">
        <f t="shared" ref="C76" si="23">C68-SUM(C69:C75)</f>
        <v>34167</v>
      </c>
      <c r="D76" s="200">
        <f t="shared" ref="D76:H76" si="24">D68-SUM(D69:D75)</f>
        <v>57873</v>
      </c>
      <c r="E76" s="200">
        <f t="shared" si="24"/>
        <v>153822</v>
      </c>
      <c r="F76" s="200">
        <f t="shared" si="24"/>
        <v>207408</v>
      </c>
      <c r="G76" s="200">
        <f t="shared" si="24"/>
        <v>242472</v>
      </c>
      <c r="H76" s="200">
        <f t="shared" si="24"/>
        <v>167841</v>
      </c>
      <c r="I76" s="201">
        <f t="shared" si="21"/>
        <v>-0.30779223992873406</v>
      </c>
      <c r="J76" s="200">
        <f>H76-G76</f>
        <v>-74631</v>
      </c>
      <c r="K76" s="201">
        <f t="shared" si="22"/>
        <v>6.4049884732646179E-3</v>
      </c>
      <c r="L76" s="103"/>
    </row>
    <row r="77" spans="1:12" s="177" customFormat="1" x14ac:dyDescent="0.25">
      <c r="A77" s="193"/>
      <c r="B77" s="186" t="s">
        <v>50</v>
      </c>
      <c r="C77" s="184"/>
      <c r="D77" s="184"/>
      <c r="E77" s="184"/>
      <c r="F77" s="184"/>
      <c r="G77" s="184"/>
      <c r="H77" s="184"/>
      <c r="I77" s="184"/>
      <c r="J77" s="184"/>
      <c r="K77" s="184"/>
    </row>
    <row r="78" spans="1:12" x14ac:dyDescent="0.25">
      <c r="A78" s="193"/>
      <c r="B78" s="187" t="s">
        <v>70</v>
      </c>
      <c r="C78" s="209">
        <v>1338661</v>
      </c>
      <c r="D78" s="209">
        <v>1092978</v>
      </c>
      <c r="E78" s="209">
        <v>3164473</v>
      </c>
      <c r="F78" s="209">
        <v>3797412</v>
      </c>
      <c r="G78" s="209">
        <v>4309024</v>
      </c>
      <c r="H78" s="209">
        <v>4269487</v>
      </c>
      <c r="I78" s="210">
        <f>IFERROR(H78/G78-1,"-")</f>
        <v>-9.1753956348351595E-3</v>
      </c>
      <c r="J78" s="209">
        <f>H78-G78</f>
        <v>-39537</v>
      </c>
      <c r="K78" s="210">
        <f>H78/H$8</f>
        <v>0.16292809874674921</v>
      </c>
      <c r="L78" s="103"/>
    </row>
    <row r="79" spans="1:12" x14ac:dyDescent="0.25">
      <c r="A79" s="193" t="s">
        <v>98</v>
      </c>
      <c r="B79" s="190" t="s">
        <v>99</v>
      </c>
      <c r="C79" s="191">
        <v>371015</v>
      </c>
      <c r="D79" s="191">
        <v>546801</v>
      </c>
      <c r="E79" s="191">
        <v>1298150</v>
      </c>
      <c r="F79" s="191">
        <v>1358012</v>
      </c>
      <c r="G79" s="191">
        <v>1351953</v>
      </c>
      <c r="H79" s="191">
        <v>1392078</v>
      </c>
      <c r="I79" s="192">
        <f>IFERROR(H79/G79-1,"-")</f>
        <v>2.9679286188203369E-2</v>
      </c>
      <c r="J79" s="191">
        <f t="shared" ref="J79:J89" si="25">H79-G79</f>
        <v>40125</v>
      </c>
      <c r="K79" s="192">
        <f>H79/H$8</f>
        <v>5.3123155509591E-2</v>
      </c>
      <c r="L79" s="103"/>
    </row>
    <row r="80" spans="1:12" x14ac:dyDescent="0.25">
      <c r="A80" s="193" t="s">
        <v>105</v>
      </c>
      <c r="B80" s="194" t="s">
        <v>105</v>
      </c>
      <c r="C80" s="195">
        <v>41775</v>
      </c>
      <c r="D80" s="195">
        <v>129980</v>
      </c>
      <c r="E80" s="195">
        <v>192946</v>
      </c>
      <c r="F80" s="195">
        <v>217002</v>
      </c>
      <c r="G80" s="195">
        <v>232668</v>
      </c>
      <c r="H80" s="195">
        <v>191562</v>
      </c>
      <c r="I80" s="196">
        <f>IFERROR(H80/G80-1,"-")</f>
        <v>-0.17667233998659038</v>
      </c>
      <c r="J80" s="195">
        <f t="shared" si="25"/>
        <v>-41106</v>
      </c>
      <c r="K80" s="196">
        <f>H80/H$8</f>
        <v>7.3102066951192899E-3</v>
      </c>
      <c r="L80" s="103"/>
    </row>
    <row r="81" spans="1:12" x14ac:dyDescent="0.25">
      <c r="A81" s="193" t="s">
        <v>102</v>
      </c>
      <c r="B81" s="194" t="s">
        <v>102</v>
      </c>
      <c r="C81" s="195">
        <v>329240</v>
      </c>
      <c r="D81" s="195">
        <v>416821</v>
      </c>
      <c r="E81" s="195">
        <v>1105204</v>
      </c>
      <c r="F81" s="195">
        <v>1141010</v>
      </c>
      <c r="G81" s="195">
        <v>1119285</v>
      </c>
      <c r="H81" s="195">
        <v>1200516</v>
      </c>
      <c r="I81" s="196">
        <f>IFERROR(H81/G81-1,"-")</f>
        <v>7.2574009300580222E-2</v>
      </c>
      <c r="J81" s="195">
        <f t="shared" si="25"/>
        <v>81231</v>
      </c>
      <c r="K81" s="196">
        <f>H81/H$8</f>
        <v>4.5812948814471705E-2</v>
      </c>
      <c r="L81" s="103"/>
    </row>
    <row r="82" spans="1:12" x14ac:dyDescent="0.25">
      <c r="A82" s="193"/>
      <c r="B82" s="190" t="s">
        <v>109</v>
      </c>
      <c r="C82" s="191">
        <v>967646</v>
      </c>
      <c r="D82" s="191">
        <v>546177</v>
      </c>
      <c r="E82" s="191">
        <v>1866323</v>
      </c>
      <c r="F82" s="191">
        <v>2439400</v>
      </c>
      <c r="G82" s="191">
        <v>2957071</v>
      </c>
      <c r="H82" s="191">
        <v>2877409</v>
      </c>
      <c r="I82" s="192">
        <f>IFERROR(H82/G82-1,"-")</f>
        <v>-2.6939495196429131E-2</v>
      </c>
      <c r="J82" s="191">
        <f t="shared" si="25"/>
        <v>-79662</v>
      </c>
      <c r="K82" s="192">
        <f>H82/H$8</f>
        <v>0.10980494323715821</v>
      </c>
      <c r="L82" s="103"/>
    </row>
    <row r="83" spans="1:12" s="74" customFormat="1" x14ac:dyDescent="0.25">
      <c r="A83" s="193"/>
      <c r="B83" s="194" t="s">
        <v>112</v>
      </c>
      <c r="C83" s="195">
        <v>140598</v>
      </c>
      <c r="D83" s="195">
        <v>41245</v>
      </c>
      <c r="E83" s="195">
        <v>362744</v>
      </c>
      <c r="F83" s="195">
        <v>476707</v>
      </c>
      <c r="G83" s="195">
        <v>584844</v>
      </c>
      <c r="H83" s="195">
        <v>575187</v>
      </c>
      <c r="I83" s="196">
        <f t="shared" ref="I83:I90" si="26">IFERROR(H83/G83-1,"-")</f>
        <v>-1.6512095533167792E-2</v>
      </c>
      <c r="J83" s="195">
        <f t="shared" si="25"/>
        <v>-9657</v>
      </c>
      <c r="K83" s="196">
        <f t="shared" ref="K83:K90" si="27">H83/H$8</f>
        <v>2.1949738770453319E-2</v>
      </c>
      <c r="L83" s="197"/>
    </row>
    <row r="84" spans="1:12" s="74" customFormat="1" x14ac:dyDescent="0.25">
      <c r="A84" s="193"/>
      <c r="B84" s="194" t="s">
        <v>115</v>
      </c>
      <c r="C84" s="195">
        <v>406865</v>
      </c>
      <c r="D84" s="195">
        <v>185171</v>
      </c>
      <c r="E84" s="195">
        <v>689086</v>
      </c>
      <c r="F84" s="195">
        <v>832824</v>
      </c>
      <c r="G84" s="195">
        <v>975376</v>
      </c>
      <c r="H84" s="195">
        <v>913895</v>
      </c>
      <c r="I84" s="196">
        <f t="shared" si="26"/>
        <v>-6.3033127737405881E-2</v>
      </c>
      <c r="J84" s="195">
        <f t="shared" si="25"/>
        <v>-61481</v>
      </c>
      <c r="K84" s="196">
        <f t="shared" si="27"/>
        <v>3.4875191048517155E-2</v>
      </c>
      <c r="L84" s="197"/>
    </row>
    <row r="85" spans="1:12" x14ac:dyDescent="0.25">
      <c r="A85" s="193"/>
      <c r="B85" s="194" t="s">
        <v>118</v>
      </c>
      <c r="C85" s="195">
        <v>41361</v>
      </c>
      <c r="D85" s="195">
        <v>64716</v>
      </c>
      <c r="E85" s="195">
        <v>133627</v>
      </c>
      <c r="F85" s="195">
        <v>199415</v>
      </c>
      <c r="G85" s="195">
        <v>297137</v>
      </c>
      <c r="H85" s="195">
        <v>295128</v>
      </c>
      <c r="I85" s="196">
        <f t="shared" si="26"/>
        <v>-6.7611909657834257E-3</v>
      </c>
      <c r="J85" s="195">
        <f t="shared" si="25"/>
        <v>-2009</v>
      </c>
      <c r="K85" s="196">
        <f t="shared" si="27"/>
        <v>1.126239380209627E-2</v>
      </c>
      <c r="L85" s="103"/>
    </row>
    <row r="86" spans="1:12" x14ac:dyDescent="0.25">
      <c r="A86" s="193"/>
      <c r="B86" s="194" t="s">
        <v>125</v>
      </c>
      <c r="C86" s="195">
        <v>12762</v>
      </c>
      <c r="D86" s="195">
        <v>17012</v>
      </c>
      <c r="E86" s="195">
        <v>55181</v>
      </c>
      <c r="F86" s="195">
        <v>65462</v>
      </c>
      <c r="G86" s="195">
        <v>98245</v>
      </c>
      <c r="H86" s="195">
        <v>90312</v>
      </c>
      <c r="I86" s="196">
        <f t="shared" si="26"/>
        <v>-8.0747111812305983E-2</v>
      </c>
      <c r="J86" s="195">
        <f t="shared" si="25"/>
        <v>-7933</v>
      </c>
      <c r="K86" s="196">
        <f t="shared" si="27"/>
        <v>3.4464005755296631E-3</v>
      </c>
      <c r="L86" s="103"/>
    </row>
    <row r="87" spans="1:12" x14ac:dyDescent="0.25">
      <c r="A87" s="193"/>
      <c r="B87" s="194" t="s">
        <v>121</v>
      </c>
      <c r="C87" s="195">
        <v>12354</v>
      </c>
      <c r="D87" s="195">
        <v>18104</v>
      </c>
      <c r="E87" s="195">
        <v>24540</v>
      </c>
      <c r="F87" s="195">
        <v>33952</v>
      </c>
      <c r="G87" s="195">
        <v>43900</v>
      </c>
      <c r="H87" s="195">
        <v>45489</v>
      </c>
      <c r="I87" s="196">
        <f t="shared" si="26"/>
        <v>3.6195899772209605E-2</v>
      </c>
      <c r="J87" s="195">
        <f t="shared" si="25"/>
        <v>1589</v>
      </c>
      <c r="K87" s="196">
        <f t="shared" si="27"/>
        <v>1.7359079167803707E-3</v>
      </c>
      <c r="L87" s="103"/>
    </row>
    <row r="88" spans="1:12" x14ac:dyDescent="0.25">
      <c r="A88" s="193"/>
      <c r="B88" s="194" t="s">
        <v>130</v>
      </c>
      <c r="C88" s="195">
        <v>30296</v>
      </c>
      <c r="D88" s="195">
        <v>3409</v>
      </c>
      <c r="E88" s="195">
        <v>35518</v>
      </c>
      <c r="F88" s="195">
        <v>50535</v>
      </c>
      <c r="G88" s="195">
        <v>46488</v>
      </c>
      <c r="H88" s="195">
        <v>50142</v>
      </c>
      <c r="I88" s="196">
        <f t="shared" si="26"/>
        <v>7.8600929272070186E-2</v>
      </c>
      <c r="J88" s="195">
        <f t="shared" si="25"/>
        <v>3654</v>
      </c>
      <c r="K88" s="196">
        <f t="shared" si="27"/>
        <v>1.9134712735650672E-3</v>
      </c>
      <c r="L88" s="103"/>
    </row>
    <row r="89" spans="1:12" x14ac:dyDescent="0.25">
      <c r="A89" s="193" t="s">
        <v>146</v>
      </c>
      <c r="B89" s="194" t="s">
        <v>133</v>
      </c>
      <c r="C89" s="195">
        <v>48839</v>
      </c>
      <c r="D89" s="195">
        <v>4499</v>
      </c>
      <c r="E89" s="195">
        <v>29720</v>
      </c>
      <c r="F89" s="195">
        <v>49558</v>
      </c>
      <c r="G89" s="195">
        <v>53306</v>
      </c>
      <c r="H89" s="195">
        <v>40876</v>
      </c>
      <c r="I89" s="196">
        <f t="shared" si="26"/>
        <v>-0.23318200577796122</v>
      </c>
      <c r="J89" s="195">
        <f t="shared" si="25"/>
        <v>-12430</v>
      </c>
      <c r="K89" s="196">
        <f t="shared" si="27"/>
        <v>1.5598710019194626E-3</v>
      </c>
      <c r="L89" s="103"/>
    </row>
    <row r="90" spans="1:12" x14ac:dyDescent="0.25">
      <c r="A90" s="193" t="s">
        <v>147</v>
      </c>
      <c r="B90" s="199" t="s">
        <v>147</v>
      </c>
      <c r="C90" s="200">
        <f t="shared" ref="C90" si="28">C82-SUM(C83:C89)</f>
        <v>274571</v>
      </c>
      <c r="D90" s="200">
        <f t="shared" ref="D90:H90" si="29">D82-SUM(D83:D89)</f>
        <v>212021</v>
      </c>
      <c r="E90" s="200">
        <f t="shared" si="29"/>
        <v>535907</v>
      </c>
      <c r="F90" s="200">
        <f t="shared" si="29"/>
        <v>730947</v>
      </c>
      <c r="G90" s="200">
        <f t="shared" si="29"/>
        <v>857775</v>
      </c>
      <c r="H90" s="200">
        <f t="shared" si="29"/>
        <v>866380</v>
      </c>
      <c r="I90" s="201">
        <f t="shared" si="26"/>
        <v>1.0031768237591443E-2</v>
      </c>
      <c r="J90" s="200">
        <f>H90-G90</f>
        <v>8605</v>
      </c>
      <c r="K90" s="201">
        <f t="shared" si="27"/>
        <v>3.3061968848296895E-2</v>
      </c>
      <c r="L90" s="103"/>
    </row>
    <row r="91" spans="1:12" s="177" customFormat="1" x14ac:dyDescent="0.25">
      <c r="A91" s="193"/>
      <c r="B91" s="186" t="s">
        <v>51</v>
      </c>
      <c r="C91" s="184"/>
      <c r="D91" s="184"/>
      <c r="E91" s="184"/>
      <c r="F91" s="184"/>
      <c r="G91" s="184"/>
      <c r="H91" s="184"/>
      <c r="I91" s="184"/>
      <c r="J91" s="184"/>
      <c r="K91" s="184"/>
    </row>
    <row r="92" spans="1:12" x14ac:dyDescent="0.25">
      <c r="A92" s="193"/>
      <c r="B92" s="187" t="s">
        <v>70</v>
      </c>
      <c r="C92" s="209">
        <v>44367</v>
      </c>
      <c r="D92" s="209">
        <v>49897</v>
      </c>
      <c r="E92" s="209">
        <v>100995</v>
      </c>
      <c r="F92" s="209">
        <v>112147</v>
      </c>
      <c r="G92" s="209">
        <v>111822</v>
      </c>
      <c r="H92" s="209">
        <v>111166</v>
      </c>
      <c r="I92" s="210">
        <f>IFERROR(H92/G92-1,"-")</f>
        <v>-5.8664663483035673E-3</v>
      </c>
      <c r="J92" s="209">
        <f>H92-G92</f>
        <v>-656</v>
      </c>
      <c r="K92" s="210">
        <f>H92/H$8</f>
        <v>4.2422110724967942E-3</v>
      </c>
      <c r="L92" s="103"/>
    </row>
    <row r="93" spans="1:12" x14ac:dyDescent="0.25">
      <c r="A93" s="193" t="s">
        <v>98</v>
      </c>
      <c r="B93" s="190" t="s">
        <v>99</v>
      </c>
      <c r="C93" s="191">
        <v>21472</v>
      </c>
      <c r="D93" s="191">
        <v>27401</v>
      </c>
      <c r="E93" s="191">
        <v>53443</v>
      </c>
      <c r="F93" s="191">
        <v>57667</v>
      </c>
      <c r="G93" s="191">
        <v>51706</v>
      </c>
      <c r="H93" s="191">
        <v>54795</v>
      </c>
      <c r="I93" s="192">
        <f>IFERROR(H93/G93-1,"-")</f>
        <v>5.9741616060031699E-2</v>
      </c>
      <c r="J93" s="191">
        <f t="shared" ref="J93:J103" si="30">H93-G93</f>
        <v>3089</v>
      </c>
      <c r="K93" s="192">
        <f>H93/H$8</f>
        <v>2.091034630349764E-3</v>
      </c>
      <c r="L93" s="103"/>
    </row>
    <row r="94" spans="1:12" x14ac:dyDescent="0.25">
      <c r="A94" s="193" t="s">
        <v>105</v>
      </c>
      <c r="B94" s="194" t="s">
        <v>105</v>
      </c>
      <c r="C94" s="195">
        <v>10036</v>
      </c>
      <c r="D94" s="195">
        <v>13047</v>
      </c>
      <c r="E94" s="195">
        <v>22783</v>
      </c>
      <c r="F94" s="195">
        <v>15570</v>
      </c>
      <c r="G94" s="195">
        <v>14648</v>
      </c>
      <c r="H94" s="195">
        <v>19078</v>
      </c>
      <c r="I94" s="196">
        <f>IFERROR(H94/G94-1,"-")</f>
        <v>0.30243036592026207</v>
      </c>
      <c r="J94" s="195">
        <f t="shared" si="30"/>
        <v>4430</v>
      </c>
      <c r="K94" s="196">
        <f>H94/H$8</f>
        <v>7.2803647555092247E-4</v>
      </c>
      <c r="L94" s="103"/>
    </row>
    <row r="95" spans="1:12" x14ac:dyDescent="0.25">
      <c r="A95" s="193" t="s">
        <v>102</v>
      </c>
      <c r="B95" s="194" t="s">
        <v>102</v>
      </c>
      <c r="C95" s="195">
        <v>11436</v>
      </c>
      <c r="D95" s="195">
        <v>14354</v>
      </c>
      <c r="E95" s="195">
        <v>30660</v>
      </c>
      <c r="F95" s="195">
        <v>42097</v>
      </c>
      <c r="G95" s="195">
        <v>37058</v>
      </c>
      <c r="H95" s="195">
        <v>35717</v>
      </c>
      <c r="I95" s="196">
        <f>IFERROR(H95/G95-1,"-")</f>
        <v>-3.6186518430568304E-2</v>
      </c>
      <c r="J95" s="195">
        <f t="shared" si="30"/>
        <v>-1341</v>
      </c>
      <c r="K95" s="196">
        <f>H95/H$8</f>
        <v>1.3629981547988415E-3</v>
      </c>
      <c r="L95" s="103"/>
    </row>
    <row r="96" spans="1:12" x14ac:dyDescent="0.25">
      <c r="A96" s="193"/>
      <c r="B96" s="190" t="s">
        <v>109</v>
      </c>
      <c r="C96" s="191">
        <v>22895</v>
      </c>
      <c r="D96" s="191">
        <v>22496</v>
      </c>
      <c r="E96" s="191">
        <v>47552</v>
      </c>
      <c r="F96" s="191">
        <v>54480</v>
      </c>
      <c r="G96" s="191">
        <v>60116</v>
      </c>
      <c r="H96" s="191">
        <v>56371</v>
      </c>
      <c r="I96" s="192">
        <f>IFERROR(H96/G96-1,"-")</f>
        <v>-6.2296227293898498E-2</v>
      </c>
      <c r="J96" s="191">
        <f t="shared" si="30"/>
        <v>-3745</v>
      </c>
      <c r="K96" s="192">
        <f>H96/H$8</f>
        <v>2.1511764421470307E-3</v>
      </c>
      <c r="L96" s="103"/>
    </row>
    <row r="97" spans="1:12" s="74" customFormat="1" x14ac:dyDescent="0.25">
      <c r="A97" s="193"/>
      <c r="B97" s="194" t="s">
        <v>112</v>
      </c>
      <c r="C97" s="195">
        <v>4549</v>
      </c>
      <c r="D97" s="195">
        <v>1221</v>
      </c>
      <c r="E97" s="195">
        <v>6678</v>
      </c>
      <c r="F97" s="195">
        <v>8437</v>
      </c>
      <c r="G97" s="195">
        <v>9512</v>
      </c>
      <c r="H97" s="195">
        <v>7152</v>
      </c>
      <c r="I97" s="196">
        <f t="shared" ref="I97:I104" si="31">IFERROR(H97/G97-1,"-")</f>
        <v>-0.24810765349032804</v>
      </c>
      <c r="J97" s="195">
        <f t="shared" si="30"/>
        <v>-2360</v>
      </c>
      <c r="K97" s="196">
        <f t="shared" ref="K97:K104" si="32">H97/H$8</f>
        <v>2.7292781597338284E-4</v>
      </c>
      <c r="L97" s="197"/>
    </row>
    <row r="98" spans="1:12" s="74" customFormat="1" x14ac:dyDescent="0.25">
      <c r="A98" s="193"/>
      <c r="B98" s="194" t="s">
        <v>115</v>
      </c>
      <c r="C98" s="195">
        <v>6846</v>
      </c>
      <c r="D98" s="195">
        <v>7309</v>
      </c>
      <c r="E98" s="195">
        <v>14680</v>
      </c>
      <c r="F98" s="195">
        <v>15937</v>
      </c>
      <c r="G98" s="195">
        <v>17843</v>
      </c>
      <c r="H98" s="195">
        <v>15957</v>
      </c>
      <c r="I98" s="196">
        <f t="shared" si="31"/>
        <v>-0.10569971417362556</v>
      </c>
      <c r="J98" s="195">
        <f t="shared" si="30"/>
        <v>-1886</v>
      </c>
      <c r="K98" s="196">
        <f t="shared" si="32"/>
        <v>6.0893584444732523E-4</v>
      </c>
      <c r="L98" s="197"/>
    </row>
    <row r="99" spans="1:12" x14ac:dyDescent="0.25">
      <c r="A99" s="193"/>
      <c r="B99" s="194" t="s">
        <v>118</v>
      </c>
      <c r="C99" s="195">
        <v>3672</v>
      </c>
      <c r="D99" s="195">
        <v>5246</v>
      </c>
      <c r="E99" s="195">
        <v>6004</v>
      </c>
      <c r="F99" s="195">
        <v>6518</v>
      </c>
      <c r="G99" s="195">
        <v>7642</v>
      </c>
      <c r="H99" s="195">
        <v>7238</v>
      </c>
      <c r="I99" s="196">
        <f t="shared" si="31"/>
        <v>-5.2865741952368484E-2</v>
      </c>
      <c r="J99" s="195">
        <f t="shared" si="30"/>
        <v>-404</v>
      </c>
      <c r="K99" s="196">
        <f t="shared" si="32"/>
        <v>2.7620966610952807E-4</v>
      </c>
      <c r="L99" s="103"/>
    </row>
    <row r="100" spans="1:12" x14ac:dyDescent="0.25">
      <c r="A100" s="193"/>
      <c r="B100" s="194" t="s">
        <v>125</v>
      </c>
      <c r="C100" s="195">
        <v>864</v>
      </c>
      <c r="D100" s="195">
        <v>584</v>
      </c>
      <c r="E100" s="195">
        <v>3436</v>
      </c>
      <c r="F100" s="195">
        <v>2670</v>
      </c>
      <c r="G100" s="195">
        <v>3162</v>
      </c>
      <c r="H100" s="195">
        <v>2110</v>
      </c>
      <c r="I100" s="196">
        <f t="shared" si="31"/>
        <v>-0.33270082226438957</v>
      </c>
      <c r="J100" s="195">
        <f t="shared" si="30"/>
        <v>-1052</v>
      </c>
      <c r="K100" s="196">
        <f t="shared" si="32"/>
        <v>8.0519811479843085E-5</v>
      </c>
      <c r="L100" s="103"/>
    </row>
    <row r="101" spans="1:12" x14ac:dyDescent="0.25">
      <c r="A101" s="193"/>
      <c r="B101" s="194" t="s">
        <v>121</v>
      </c>
      <c r="C101" s="195">
        <v>500</v>
      </c>
      <c r="D101" s="195">
        <v>658</v>
      </c>
      <c r="E101" s="195">
        <v>1540</v>
      </c>
      <c r="F101" s="195">
        <v>1223</v>
      </c>
      <c r="G101" s="195">
        <v>1693</v>
      </c>
      <c r="H101" s="195">
        <v>2087</v>
      </c>
      <c r="I101" s="196">
        <f t="shared" si="31"/>
        <v>0.23272297696396937</v>
      </c>
      <c r="J101" s="195">
        <f t="shared" si="30"/>
        <v>394</v>
      </c>
      <c r="K101" s="196">
        <f t="shared" si="32"/>
        <v>7.9642107373664695E-5</v>
      </c>
      <c r="L101" s="103"/>
    </row>
    <row r="102" spans="1:12" x14ac:dyDescent="0.25">
      <c r="A102" s="193"/>
      <c r="B102" s="194" t="s">
        <v>130</v>
      </c>
      <c r="C102" s="195">
        <v>568</v>
      </c>
      <c r="D102" s="195">
        <v>41</v>
      </c>
      <c r="E102" s="195">
        <v>630</v>
      </c>
      <c r="F102" s="195">
        <v>298</v>
      </c>
      <c r="G102" s="195">
        <v>632</v>
      </c>
      <c r="H102" s="195">
        <v>365</v>
      </c>
      <c r="I102" s="196">
        <f t="shared" si="31"/>
        <v>-0.42246835443037978</v>
      </c>
      <c r="J102" s="195">
        <f t="shared" si="30"/>
        <v>-267</v>
      </c>
      <c r="K102" s="196">
        <f t="shared" si="32"/>
        <v>1.3928782554570013E-5</v>
      </c>
      <c r="L102" s="103"/>
    </row>
    <row r="103" spans="1:12" x14ac:dyDescent="0.25">
      <c r="A103" s="193" t="s">
        <v>146</v>
      </c>
      <c r="B103" s="194" t="s">
        <v>133</v>
      </c>
      <c r="C103" s="195">
        <v>219</v>
      </c>
      <c r="D103" s="195">
        <v>165</v>
      </c>
      <c r="E103" s="195">
        <v>247</v>
      </c>
      <c r="F103" s="195">
        <v>680</v>
      </c>
      <c r="G103" s="195">
        <v>871</v>
      </c>
      <c r="H103" s="195">
        <v>481</v>
      </c>
      <c r="I103" s="196">
        <f t="shared" si="31"/>
        <v>-0.44776119402985071</v>
      </c>
      <c r="J103" s="195">
        <f t="shared" si="30"/>
        <v>-390</v>
      </c>
      <c r="K103" s="196">
        <f t="shared" si="32"/>
        <v>1.8355464133556647E-5</v>
      </c>
      <c r="L103" s="103"/>
    </row>
    <row r="104" spans="1:12" x14ac:dyDescent="0.25">
      <c r="A104" s="193" t="s">
        <v>147</v>
      </c>
      <c r="B104" s="199" t="s">
        <v>147</v>
      </c>
      <c r="C104" s="200">
        <f t="shared" ref="C104" si="33">C96-SUM(C97:C103)</f>
        <v>5677</v>
      </c>
      <c r="D104" s="200">
        <f t="shared" ref="D104:H104" si="34">D96-SUM(D97:D103)</f>
        <v>7272</v>
      </c>
      <c r="E104" s="200">
        <f t="shared" si="34"/>
        <v>14337</v>
      </c>
      <c r="F104" s="200">
        <f t="shared" si="34"/>
        <v>18717</v>
      </c>
      <c r="G104" s="200">
        <f t="shared" si="34"/>
        <v>18761</v>
      </c>
      <c r="H104" s="200">
        <f t="shared" si="34"/>
        <v>20981</v>
      </c>
      <c r="I104" s="201">
        <f t="shared" si="31"/>
        <v>0.11833057939342262</v>
      </c>
      <c r="J104" s="200">
        <f>H104-G104</f>
        <v>2220</v>
      </c>
      <c r="K104" s="201">
        <f t="shared" si="32"/>
        <v>8.006569500751601E-4</v>
      </c>
      <c r="L104" s="103"/>
    </row>
    <row r="105" spans="1:12" s="177" customFormat="1" x14ac:dyDescent="0.25">
      <c r="A105" s="193"/>
      <c r="B105" s="186" t="s">
        <v>52</v>
      </c>
      <c r="C105" s="184"/>
      <c r="D105" s="184"/>
      <c r="E105" s="184"/>
      <c r="F105" s="184"/>
      <c r="G105" s="184"/>
      <c r="H105" s="184"/>
      <c r="I105" s="184"/>
      <c r="J105" s="184"/>
      <c r="K105" s="184"/>
    </row>
    <row r="106" spans="1:12" x14ac:dyDescent="0.25">
      <c r="A106" s="193"/>
      <c r="B106" s="187" t="s">
        <v>70</v>
      </c>
      <c r="C106" s="209">
        <v>350068</v>
      </c>
      <c r="D106" s="209">
        <v>455604</v>
      </c>
      <c r="E106" s="209">
        <v>960692</v>
      </c>
      <c r="F106" s="209">
        <v>1064225</v>
      </c>
      <c r="G106" s="209">
        <v>1119703</v>
      </c>
      <c r="H106" s="209">
        <v>1089624</v>
      </c>
      <c r="I106" s="210">
        <f>IFERROR(H106/G106-1,"-")</f>
        <v>-2.6863373591032635E-2</v>
      </c>
      <c r="J106" s="209">
        <f>H106-G106</f>
        <v>-30079</v>
      </c>
      <c r="K106" s="210">
        <f>H106/H$8</f>
        <v>4.1581193869152863E-2</v>
      </c>
      <c r="L106" s="103"/>
    </row>
    <row r="107" spans="1:12" x14ac:dyDescent="0.25">
      <c r="A107" s="193" t="s">
        <v>98</v>
      </c>
      <c r="B107" s="190" t="s">
        <v>99</v>
      </c>
      <c r="C107" s="191">
        <v>103323</v>
      </c>
      <c r="D107" s="191">
        <v>153248</v>
      </c>
      <c r="E107" s="191">
        <v>146210</v>
      </c>
      <c r="F107" s="191">
        <v>171102</v>
      </c>
      <c r="G107" s="191">
        <v>170181</v>
      </c>
      <c r="H107" s="191">
        <v>178141</v>
      </c>
      <c r="I107" s="192">
        <f>IFERROR(H107/G107-1,"-")</f>
        <v>4.6773729147202125E-2</v>
      </c>
      <c r="J107" s="191">
        <f t="shared" ref="J107:J117" si="35">H107-G107</f>
        <v>7960</v>
      </c>
      <c r="K107" s="192">
        <f>H107/H$8</f>
        <v>6.798047268640155E-3</v>
      </c>
      <c r="L107" s="103"/>
    </row>
    <row r="108" spans="1:12" x14ac:dyDescent="0.25">
      <c r="A108" s="193" t="s">
        <v>105</v>
      </c>
      <c r="B108" s="194" t="s">
        <v>105</v>
      </c>
      <c r="C108" s="195">
        <v>5277</v>
      </c>
      <c r="D108" s="195">
        <v>84294</v>
      </c>
      <c r="E108" s="195">
        <v>48303</v>
      </c>
      <c r="F108" s="195">
        <v>49108</v>
      </c>
      <c r="G108" s="195">
        <v>48234</v>
      </c>
      <c r="H108" s="195">
        <v>62481</v>
      </c>
      <c r="I108" s="196">
        <f>IFERROR(H108/G108-1,"-")</f>
        <v>0.29537255877596724</v>
      </c>
      <c r="J108" s="195">
        <f t="shared" si="35"/>
        <v>14247</v>
      </c>
      <c r="K108" s="196">
        <f>H108/H$8</f>
        <v>2.3843404460057232E-3</v>
      </c>
      <c r="L108" s="103"/>
    </row>
    <row r="109" spans="1:12" x14ac:dyDescent="0.25">
      <c r="A109" s="193" t="s">
        <v>102</v>
      </c>
      <c r="B109" s="194" t="s">
        <v>102</v>
      </c>
      <c r="C109" s="195">
        <v>98046</v>
      </c>
      <c r="D109" s="195">
        <v>68954</v>
      </c>
      <c r="E109" s="195">
        <v>97907</v>
      </c>
      <c r="F109" s="195">
        <v>121994</v>
      </c>
      <c r="G109" s="195">
        <v>121947</v>
      </c>
      <c r="H109" s="195">
        <v>115660</v>
      </c>
      <c r="I109" s="196">
        <f>IFERROR(H109/G109-1,"-")</f>
        <v>-5.155518380935975E-2</v>
      </c>
      <c r="J109" s="195">
        <f t="shared" si="35"/>
        <v>-6287</v>
      </c>
      <c r="K109" s="196">
        <f>H109/H$8</f>
        <v>4.4137068226344318E-3</v>
      </c>
      <c r="L109" s="103"/>
    </row>
    <row r="110" spans="1:12" x14ac:dyDescent="0.25">
      <c r="A110" s="193"/>
      <c r="B110" s="190" t="s">
        <v>109</v>
      </c>
      <c r="C110" s="191">
        <v>246745</v>
      </c>
      <c r="D110" s="191">
        <v>302356</v>
      </c>
      <c r="E110" s="191">
        <v>814482</v>
      </c>
      <c r="F110" s="191">
        <v>893123</v>
      </c>
      <c r="G110" s="191">
        <v>949522</v>
      </c>
      <c r="H110" s="191">
        <v>911483</v>
      </c>
      <c r="I110" s="192">
        <f>IFERROR(H110/G110-1,"-")</f>
        <v>-4.0061209745535176E-2</v>
      </c>
      <c r="J110" s="191">
        <f t="shared" si="35"/>
        <v>-38039</v>
      </c>
      <c r="K110" s="192">
        <f>H110/H$8</f>
        <v>3.478314660051271E-2</v>
      </c>
      <c r="L110" s="103"/>
    </row>
    <row r="111" spans="1:12" s="74" customFormat="1" x14ac:dyDescent="0.25">
      <c r="A111" s="193"/>
      <c r="B111" s="194" t="s">
        <v>112</v>
      </c>
      <c r="C111" s="195">
        <v>127632</v>
      </c>
      <c r="D111" s="195">
        <v>98883</v>
      </c>
      <c r="E111" s="195">
        <v>499233</v>
      </c>
      <c r="F111" s="195">
        <v>559863</v>
      </c>
      <c r="G111" s="195">
        <v>589805</v>
      </c>
      <c r="H111" s="195">
        <v>540634</v>
      </c>
      <c r="I111" s="196">
        <f t="shared" ref="I111:I118" si="36">IFERROR(H111/G111-1,"-")</f>
        <v>-8.3368231873246268E-2</v>
      </c>
      <c r="J111" s="195">
        <f t="shared" si="35"/>
        <v>-49171</v>
      </c>
      <c r="K111" s="196">
        <f t="shared" ref="K111:K118" si="37">H111/H$8</f>
        <v>2.0631160075636725E-2</v>
      </c>
      <c r="L111" s="197"/>
    </row>
    <row r="112" spans="1:12" s="74" customFormat="1" x14ac:dyDescent="0.25">
      <c r="A112" s="193"/>
      <c r="B112" s="194" t="s">
        <v>115</v>
      </c>
      <c r="C112" s="195">
        <v>18556</v>
      </c>
      <c r="D112" s="195">
        <v>40887</v>
      </c>
      <c r="E112" s="195">
        <v>32869</v>
      </c>
      <c r="F112" s="195">
        <v>43496</v>
      </c>
      <c r="G112" s="195">
        <v>41195</v>
      </c>
      <c r="H112" s="195">
        <v>46961</v>
      </c>
      <c r="I112" s="196">
        <f t="shared" si="36"/>
        <v>0.13996844277218101</v>
      </c>
      <c r="J112" s="195">
        <f t="shared" si="35"/>
        <v>5766</v>
      </c>
      <c r="K112" s="196">
        <f t="shared" si="37"/>
        <v>1.7920809795757874E-3</v>
      </c>
      <c r="L112" s="197"/>
    </row>
    <row r="113" spans="1:12" x14ac:dyDescent="0.25">
      <c r="A113" s="193"/>
      <c r="B113" s="194" t="s">
        <v>118</v>
      </c>
      <c r="C113" s="195">
        <v>10673</v>
      </c>
      <c r="D113" s="195">
        <v>53172</v>
      </c>
      <c r="E113" s="195">
        <v>49017</v>
      </c>
      <c r="F113" s="195">
        <v>63689</v>
      </c>
      <c r="G113" s="195">
        <v>60200</v>
      </c>
      <c r="H113" s="195">
        <v>78226</v>
      </c>
      <c r="I113" s="196">
        <f t="shared" si="36"/>
        <v>0.29943521594684386</v>
      </c>
      <c r="J113" s="195">
        <f t="shared" si="35"/>
        <v>18026</v>
      </c>
      <c r="K113" s="196">
        <f t="shared" si="37"/>
        <v>2.9851861482569691E-3</v>
      </c>
      <c r="L113" s="103"/>
    </row>
    <row r="114" spans="1:12" x14ac:dyDescent="0.25">
      <c r="A114" s="193"/>
      <c r="B114" s="194" t="s">
        <v>125</v>
      </c>
      <c r="C114" s="195">
        <v>7421</v>
      </c>
      <c r="D114" s="195">
        <v>18602</v>
      </c>
      <c r="E114" s="195">
        <v>31602</v>
      </c>
      <c r="F114" s="195">
        <v>28649</v>
      </c>
      <c r="G114" s="195">
        <v>29803</v>
      </c>
      <c r="H114" s="195">
        <v>33080</v>
      </c>
      <c r="I114" s="196">
        <f t="shared" si="36"/>
        <v>0.10995537362010532</v>
      </c>
      <c r="J114" s="195">
        <f t="shared" si="35"/>
        <v>3277</v>
      </c>
      <c r="K114" s="196">
        <f t="shared" si="37"/>
        <v>1.2623674709730849E-3</v>
      </c>
      <c r="L114" s="103"/>
    </row>
    <row r="115" spans="1:12" x14ac:dyDescent="0.25">
      <c r="A115" s="193"/>
      <c r="B115" s="194" t="s">
        <v>121</v>
      </c>
      <c r="C115" s="195">
        <v>17411</v>
      </c>
      <c r="D115" s="195">
        <v>25177</v>
      </c>
      <c r="E115" s="195">
        <v>34248</v>
      </c>
      <c r="F115" s="195">
        <v>33161</v>
      </c>
      <c r="G115" s="195">
        <v>23224</v>
      </c>
      <c r="H115" s="195">
        <v>26128</v>
      </c>
      <c r="I115" s="196">
        <f t="shared" si="36"/>
        <v>0.12504305890458145</v>
      </c>
      <c r="J115" s="195">
        <f t="shared" si="35"/>
        <v>2904</v>
      </c>
      <c r="K115" s="196">
        <f t="shared" si="37"/>
        <v>9.9707186461864467E-4</v>
      </c>
      <c r="L115" s="103"/>
    </row>
    <row r="116" spans="1:12" x14ac:dyDescent="0.25">
      <c r="A116" s="193"/>
      <c r="B116" s="194" t="s">
        <v>130</v>
      </c>
      <c r="C116" s="195">
        <v>2329</v>
      </c>
      <c r="D116" s="195">
        <v>405</v>
      </c>
      <c r="E116" s="195">
        <v>4391</v>
      </c>
      <c r="F116" s="195">
        <v>7117</v>
      </c>
      <c r="G116" s="195">
        <v>9993</v>
      </c>
      <c r="H116" s="195">
        <v>6310</v>
      </c>
      <c r="I116" s="196">
        <f t="shared" si="36"/>
        <v>-0.36855799059341543</v>
      </c>
      <c r="J116" s="195">
        <f t="shared" si="35"/>
        <v>-3683</v>
      </c>
      <c r="K116" s="196">
        <f t="shared" si="37"/>
        <v>2.40796213477635E-4</v>
      </c>
      <c r="L116" s="103"/>
    </row>
    <row r="117" spans="1:12" x14ac:dyDescent="0.25">
      <c r="A117" s="193" t="s">
        <v>146</v>
      </c>
      <c r="B117" s="194" t="s">
        <v>133</v>
      </c>
      <c r="C117" s="195">
        <v>7242</v>
      </c>
      <c r="D117" s="195">
        <v>167</v>
      </c>
      <c r="E117" s="195">
        <v>5361</v>
      </c>
      <c r="F117" s="195">
        <v>4471</v>
      </c>
      <c r="G117" s="195">
        <v>8914</v>
      </c>
      <c r="H117" s="195">
        <v>5102</v>
      </c>
      <c r="I117" s="196">
        <f t="shared" si="36"/>
        <v>-0.42764191159973075</v>
      </c>
      <c r="J117" s="195">
        <f t="shared" si="35"/>
        <v>-3812</v>
      </c>
      <c r="K117" s="196">
        <f t="shared" si="37"/>
        <v>1.9469766737922247E-4</v>
      </c>
      <c r="L117" s="103"/>
    </row>
    <row r="118" spans="1:12" x14ac:dyDescent="0.25">
      <c r="A118" s="193" t="s">
        <v>147</v>
      </c>
      <c r="B118" s="199" t="s">
        <v>147</v>
      </c>
      <c r="C118" s="200">
        <f t="shared" ref="C118" si="38">C110-SUM(C111:C117)</f>
        <v>55481</v>
      </c>
      <c r="D118" s="200">
        <f t="shared" ref="D118:H118" si="39">D110-SUM(D111:D117)</f>
        <v>65063</v>
      </c>
      <c r="E118" s="200">
        <f t="shared" si="39"/>
        <v>157761</v>
      </c>
      <c r="F118" s="200">
        <f t="shared" si="39"/>
        <v>152677</v>
      </c>
      <c r="G118" s="200">
        <f t="shared" si="39"/>
        <v>186388</v>
      </c>
      <c r="H118" s="200">
        <f t="shared" si="39"/>
        <v>175042</v>
      </c>
      <c r="I118" s="201">
        <f t="shared" si="36"/>
        <v>-6.0873017576238864E-2</v>
      </c>
      <c r="J118" s="200">
        <f>H118-G118</f>
        <v>-11346</v>
      </c>
      <c r="K118" s="201">
        <f t="shared" si="37"/>
        <v>6.6797861805946417E-3</v>
      </c>
      <c r="L118" s="103"/>
    </row>
    <row r="119" spans="1:12" s="177" customFormat="1" x14ac:dyDescent="0.25">
      <c r="A119" s="193"/>
      <c r="B119" s="186" t="s">
        <v>53</v>
      </c>
      <c r="C119" s="184"/>
      <c r="D119" s="184"/>
      <c r="E119" s="184"/>
      <c r="F119" s="184"/>
      <c r="G119" s="184"/>
      <c r="H119" s="184"/>
      <c r="I119" s="184"/>
      <c r="J119" s="184"/>
      <c r="K119" s="184"/>
    </row>
    <row r="120" spans="1:12" x14ac:dyDescent="0.25">
      <c r="A120" s="193"/>
      <c r="B120" s="187" t="s">
        <v>70</v>
      </c>
      <c r="C120" s="209">
        <v>147987</v>
      </c>
      <c r="D120" s="209">
        <v>220493</v>
      </c>
      <c r="E120" s="209">
        <v>385149</v>
      </c>
      <c r="F120" s="209">
        <v>418024</v>
      </c>
      <c r="G120" s="209">
        <v>432765</v>
      </c>
      <c r="H120" s="209">
        <v>448403</v>
      </c>
      <c r="I120" s="210">
        <f>IFERROR(H120/G120-1,"-")</f>
        <v>3.6135084861298905E-2</v>
      </c>
      <c r="J120" s="209">
        <f>H120-G120</f>
        <v>15638</v>
      </c>
      <c r="K120" s="210">
        <f>H120/H$8</f>
        <v>1.7111528448813307E-2</v>
      </c>
      <c r="L120" s="103"/>
    </row>
    <row r="121" spans="1:12" x14ac:dyDescent="0.25">
      <c r="A121" s="193" t="s">
        <v>98</v>
      </c>
      <c r="B121" s="190" t="s">
        <v>99</v>
      </c>
      <c r="C121" s="191">
        <v>70562</v>
      </c>
      <c r="D121" s="191">
        <v>136811</v>
      </c>
      <c r="E121" s="191">
        <v>199002</v>
      </c>
      <c r="F121" s="191">
        <v>224961</v>
      </c>
      <c r="G121" s="191">
        <v>229892</v>
      </c>
      <c r="H121" s="191">
        <v>256681</v>
      </c>
      <c r="I121" s="192">
        <f>IFERROR(H121/G121-1,"-")</f>
        <v>0.11652863083534881</v>
      </c>
      <c r="J121" s="191">
        <f t="shared" ref="J121:J131" si="40">H121-G121</f>
        <v>26789</v>
      </c>
      <c r="K121" s="192">
        <f>H121/H$8</f>
        <v>9.7952159859988636E-3</v>
      </c>
      <c r="L121" s="103"/>
    </row>
    <row r="122" spans="1:12" x14ac:dyDescent="0.25">
      <c r="A122" s="193" t="s">
        <v>105</v>
      </c>
      <c r="B122" s="194" t="s">
        <v>105</v>
      </c>
      <c r="C122" s="195">
        <v>28268</v>
      </c>
      <c r="D122" s="195">
        <v>62946</v>
      </c>
      <c r="E122" s="195">
        <v>94805</v>
      </c>
      <c r="F122" s="195">
        <v>89743</v>
      </c>
      <c r="G122" s="195">
        <v>103806</v>
      </c>
      <c r="H122" s="195">
        <v>120276</v>
      </c>
      <c r="I122" s="196">
        <f>IFERROR(H122/G122-1,"-")</f>
        <v>0.15866134905496798</v>
      </c>
      <c r="J122" s="195">
        <f t="shared" si="40"/>
        <v>16470</v>
      </c>
      <c r="K122" s="196">
        <f>H122/H$8</f>
        <v>4.5898582206396242E-3</v>
      </c>
      <c r="L122" s="103"/>
    </row>
    <row r="123" spans="1:12" x14ac:dyDescent="0.25">
      <c r="A123" s="193" t="s">
        <v>102</v>
      </c>
      <c r="B123" s="194" t="s">
        <v>102</v>
      </c>
      <c r="C123" s="195">
        <v>42294</v>
      </c>
      <c r="D123" s="195">
        <v>73865</v>
      </c>
      <c r="E123" s="195">
        <v>104197</v>
      </c>
      <c r="F123" s="195">
        <v>135218</v>
      </c>
      <c r="G123" s="195">
        <v>126086</v>
      </c>
      <c r="H123" s="195">
        <v>136405</v>
      </c>
      <c r="I123" s="196">
        <f>IFERROR(H123/G123-1,"-")</f>
        <v>8.1840965690084477E-2</v>
      </c>
      <c r="J123" s="195">
        <f t="shared" si="40"/>
        <v>10319</v>
      </c>
      <c r="K123" s="196">
        <f>H123/H$8</f>
        <v>5.2053577653592403E-3</v>
      </c>
      <c r="L123" s="103"/>
    </row>
    <row r="124" spans="1:12" x14ac:dyDescent="0.25">
      <c r="A124" s="193"/>
      <c r="B124" s="190" t="s">
        <v>109</v>
      </c>
      <c r="C124" s="191">
        <v>77425</v>
      </c>
      <c r="D124" s="191">
        <v>83682</v>
      </c>
      <c r="E124" s="191">
        <v>186147</v>
      </c>
      <c r="F124" s="191">
        <v>193063</v>
      </c>
      <c r="G124" s="191">
        <v>202873</v>
      </c>
      <c r="H124" s="191">
        <v>191722</v>
      </c>
      <c r="I124" s="192">
        <f>IFERROR(H124/G124-1,"-")</f>
        <v>-5.4965421717034779E-2</v>
      </c>
      <c r="J124" s="191">
        <f t="shared" si="40"/>
        <v>-11151</v>
      </c>
      <c r="K124" s="192">
        <f>H124/H$8</f>
        <v>7.316312462814444E-3</v>
      </c>
      <c r="L124" s="103"/>
    </row>
    <row r="125" spans="1:12" s="74" customFormat="1" x14ac:dyDescent="0.25">
      <c r="A125" s="193"/>
      <c r="B125" s="194" t="s">
        <v>112</v>
      </c>
      <c r="C125" s="195">
        <v>9418</v>
      </c>
      <c r="D125" s="195">
        <v>4179</v>
      </c>
      <c r="E125" s="195">
        <v>24863</v>
      </c>
      <c r="F125" s="195">
        <v>28361</v>
      </c>
      <c r="G125" s="195">
        <v>28012</v>
      </c>
      <c r="H125" s="195">
        <v>22116</v>
      </c>
      <c r="I125" s="196">
        <f t="shared" ref="I125:I132" si="41">IFERROR(H125/G125-1,"-")</f>
        <v>-0.2104812223332857</v>
      </c>
      <c r="J125" s="195">
        <f t="shared" si="40"/>
        <v>-5896</v>
      </c>
      <c r="K125" s="196">
        <f t="shared" ref="K125:K132" si="42">H125/H$8</f>
        <v>8.4396973966265867E-4</v>
      </c>
      <c r="L125" s="197"/>
    </row>
    <row r="126" spans="1:12" s="74" customFormat="1" x14ac:dyDescent="0.25">
      <c r="A126" s="193"/>
      <c r="B126" s="194" t="s">
        <v>115</v>
      </c>
      <c r="C126" s="195">
        <v>9614</v>
      </c>
      <c r="D126" s="195">
        <v>9311</v>
      </c>
      <c r="E126" s="195">
        <v>21838</v>
      </c>
      <c r="F126" s="195">
        <v>29620</v>
      </c>
      <c r="G126" s="195">
        <v>29011</v>
      </c>
      <c r="H126" s="195">
        <v>27606</v>
      </c>
      <c r="I126" s="196">
        <f t="shared" si="41"/>
        <v>-4.842990589776297E-2</v>
      </c>
      <c r="J126" s="195">
        <f t="shared" si="40"/>
        <v>-1405</v>
      </c>
      <c r="K126" s="196">
        <f t="shared" si="42"/>
        <v>1.0534738937026296E-3</v>
      </c>
      <c r="L126" s="197"/>
    </row>
    <row r="127" spans="1:12" x14ac:dyDescent="0.25">
      <c r="A127" s="193"/>
      <c r="B127" s="194" t="s">
        <v>118</v>
      </c>
      <c r="C127" s="195">
        <v>5562</v>
      </c>
      <c r="D127" s="195">
        <v>12322</v>
      </c>
      <c r="E127" s="195">
        <v>17063</v>
      </c>
      <c r="F127" s="195">
        <v>19930</v>
      </c>
      <c r="G127" s="195">
        <v>20245</v>
      </c>
      <c r="H127" s="195">
        <v>19941</v>
      </c>
      <c r="I127" s="196">
        <f t="shared" si="41"/>
        <v>-1.5016053346505354E-2</v>
      </c>
      <c r="J127" s="195">
        <f t="shared" si="40"/>
        <v>-304</v>
      </c>
      <c r="K127" s="196">
        <f t="shared" si="42"/>
        <v>7.6096946005665923E-4</v>
      </c>
      <c r="L127" s="103"/>
    </row>
    <row r="128" spans="1:12" x14ac:dyDescent="0.25">
      <c r="A128" s="193"/>
      <c r="B128" s="194" t="s">
        <v>125</v>
      </c>
      <c r="C128" s="195">
        <v>1417</v>
      </c>
      <c r="D128" s="195">
        <v>1804</v>
      </c>
      <c r="E128" s="195">
        <v>4492</v>
      </c>
      <c r="F128" s="195">
        <v>5134</v>
      </c>
      <c r="G128" s="195">
        <v>5463</v>
      </c>
      <c r="H128" s="195">
        <v>6561</v>
      </c>
      <c r="I128" s="196">
        <f t="shared" si="41"/>
        <v>0.20098846787479396</v>
      </c>
      <c r="J128" s="195">
        <f t="shared" si="40"/>
        <v>1098</v>
      </c>
      <c r="K128" s="196">
        <f t="shared" si="42"/>
        <v>2.5037463654940784E-4</v>
      </c>
      <c r="L128" s="103"/>
    </row>
    <row r="129" spans="1:12" x14ac:dyDescent="0.25">
      <c r="A129" s="193"/>
      <c r="B129" s="194" t="s">
        <v>121</v>
      </c>
      <c r="C129" s="195">
        <v>1386</v>
      </c>
      <c r="D129" s="195">
        <v>1405</v>
      </c>
      <c r="E129" s="195">
        <v>3426</v>
      </c>
      <c r="F129" s="195">
        <v>3937</v>
      </c>
      <c r="G129" s="195">
        <v>4203</v>
      </c>
      <c r="H129" s="195">
        <v>4608</v>
      </c>
      <c r="I129" s="196">
        <f t="shared" si="41"/>
        <v>9.6359743040685286E-2</v>
      </c>
      <c r="J129" s="195">
        <f t="shared" si="40"/>
        <v>405</v>
      </c>
      <c r="K129" s="196">
        <f t="shared" si="42"/>
        <v>1.7584610962043457E-4</v>
      </c>
      <c r="L129" s="103"/>
    </row>
    <row r="130" spans="1:12" x14ac:dyDescent="0.25">
      <c r="A130" s="193"/>
      <c r="B130" s="194" t="s">
        <v>130</v>
      </c>
      <c r="C130" s="195">
        <v>1591</v>
      </c>
      <c r="D130" s="195">
        <v>309</v>
      </c>
      <c r="E130" s="195">
        <v>1703</v>
      </c>
      <c r="F130" s="195">
        <v>2395</v>
      </c>
      <c r="G130" s="195">
        <v>2990</v>
      </c>
      <c r="H130" s="195">
        <v>1992</v>
      </c>
      <c r="I130" s="196">
        <f t="shared" si="41"/>
        <v>-0.3337792642140468</v>
      </c>
      <c r="J130" s="195">
        <f t="shared" si="40"/>
        <v>-998</v>
      </c>
      <c r="K130" s="196">
        <f t="shared" si="42"/>
        <v>7.6016807804667029E-5</v>
      </c>
      <c r="L130" s="103"/>
    </row>
    <row r="131" spans="1:12" x14ac:dyDescent="0.25">
      <c r="A131" s="193" t="s">
        <v>146</v>
      </c>
      <c r="B131" s="194" t="s">
        <v>133</v>
      </c>
      <c r="C131" s="195">
        <v>1985</v>
      </c>
      <c r="D131" s="195">
        <v>588</v>
      </c>
      <c r="E131" s="195">
        <v>2533</v>
      </c>
      <c r="F131" s="195">
        <v>3169</v>
      </c>
      <c r="G131" s="195">
        <v>3494</v>
      </c>
      <c r="H131" s="195">
        <v>2909</v>
      </c>
      <c r="I131" s="196">
        <f t="shared" si="41"/>
        <v>-0.16742987979393242</v>
      </c>
      <c r="J131" s="195">
        <f t="shared" si="40"/>
        <v>-585</v>
      </c>
      <c r="K131" s="196">
        <f t="shared" si="42"/>
        <v>1.1101048890751827E-4</v>
      </c>
      <c r="L131" s="103"/>
    </row>
    <row r="132" spans="1:12" x14ac:dyDescent="0.25">
      <c r="A132" s="193" t="s">
        <v>147</v>
      </c>
      <c r="B132" s="199" t="s">
        <v>147</v>
      </c>
      <c r="C132" s="200">
        <f t="shared" ref="C132" si="43">C124-SUM(C125:C131)</f>
        <v>46452</v>
      </c>
      <c r="D132" s="200">
        <f t="shared" ref="D132:H132" si="44">D124-SUM(D125:D131)</f>
        <v>53764</v>
      </c>
      <c r="E132" s="200">
        <f t="shared" si="44"/>
        <v>110229</v>
      </c>
      <c r="F132" s="200">
        <f t="shared" si="44"/>
        <v>100517</v>
      </c>
      <c r="G132" s="200">
        <f t="shared" si="44"/>
        <v>109455</v>
      </c>
      <c r="H132" s="200">
        <f t="shared" si="44"/>
        <v>105989</v>
      </c>
      <c r="I132" s="201">
        <f t="shared" si="41"/>
        <v>-3.1665981453565362E-2</v>
      </c>
      <c r="J132" s="200">
        <f>H132-G132</f>
        <v>-3466</v>
      </c>
      <c r="K132" s="201">
        <f t="shared" si="42"/>
        <v>4.0446513265104686E-3</v>
      </c>
      <c r="L132" s="103"/>
    </row>
    <row r="133" spans="1:12" s="177" customFormat="1" x14ac:dyDescent="0.25">
      <c r="A133" s="193"/>
      <c r="B133" s="186" t="s">
        <v>54</v>
      </c>
      <c r="C133" s="184"/>
      <c r="D133" s="184"/>
      <c r="E133" s="184"/>
      <c r="F133" s="184"/>
      <c r="G133" s="184"/>
      <c r="H133" s="184"/>
      <c r="I133" s="184"/>
      <c r="J133" s="184"/>
      <c r="K133" s="184"/>
    </row>
    <row r="134" spans="1:12" x14ac:dyDescent="0.25">
      <c r="A134" s="193"/>
      <c r="B134" s="187" t="s">
        <v>70</v>
      </c>
      <c r="C134" s="209">
        <v>496113</v>
      </c>
      <c r="D134" s="209">
        <v>377103</v>
      </c>
      <c r="E134" s="209">
        <v>1289839</v>
      </c>
      <c r="F134" s="209">
        <v>1393117</v>
      </c>
      <c r="G134" s="209">
        <v>1487889</v>
      </c>
      <c r="H134" s="209">
        <v>1504746</v>
      </c>
      <c r="I134" s="210">
        <f>IFERROR(H134/G134-1,"-")</f>
        <v>1.1329474174484711E-2</v>
      </c>
      <c r="J134" s="209">
        <f>H134-G134</f>
        <v>16857</v>
      </c>
      <c r="K134" s="210">
        <f>H134/H$8</f>
        <v>5.742268447632605E-2</v>
      </c>
      <c r="L134" s="103"/>
    </row>
    <row r="135" spans="1:12" x14ac:dyDescent="0.25">
      <c r="A135" s="193" t="s">
        <v>98</v>
      </c>
      <c r="B135" s="190" t="s">
        <v>99</v>
      </c>
      <c r="C135" s="191">
        <v>44417</v>
      </c>
      <c r="D135" s="191">
        <v>117743</v>
      </c>
      <c r="E135" s="191">
        <v>87836</v>
      </c>
      <c r="F135" s="191">
        <v>95606</v>
      </c>
      <c r="G135" s="191">
        <v>80930</v>
      </c>
      <c r="H135" s="191">
        <v>99103</v>
      </c>
      <c r="I135" s="192">
        <f>IFERROR(H135/G135-1,"-")</f>
        <v>0.2245520820462128</v>
      </c>
      <c r="J135" s="191">
        <f t="shared" ref="J135:J145" si="45">H135-G135</f>
        <v>18173</v>
      </c>
      <c r="K135" s="192">
        <f>H135/H$8</f>
        <v>3.7818743493302793E-3</v>
      </c>
      <c r="L135" s="103"/>
    </row>
    <row r="136" spans="1:12" x14ac:dyDescent="0.25">
      <c r="A136" s="193" t="s">
        <v>105</v>
      </c>
      <c r="B136" s="194" t="s">
        <v>105</v>
      </c>
      <c r="C136" s="195">
        <v>27488</v>
      </c>
      <c r="D136" s="195">
        <v>71638</v>
      </c>
      <c r="E136" s="195">
        <v>48763</v>
      </c>
      <c r="F136" s="195">
        <v>51759</v>
      </c>
      <c r="G136" s="195">
        <v>38627</v>
      </c>
      <c r="H136" s="195">
        <v>45047</v>
      </c>
      <c r="I136" s="196">
        <f>IFERROR(H136/G136-1,"-")</f>
        <v>0.16620498614958445</v>
      </c>
      <c r="J136" s="195">
        <f t="shared" si="45"/>
        <v>6420</v>
      </c>
      <c r="K136" s="196">
        <f>H136/H$8</f>
        <v>1.7190407335225077E-3</v>
      </c>
      <c r="L136" s="103"/>
    </row>
    <row r="137" spans="1:12" x14ac:dyDescent="0.25">
      <c r="A137" s="193" t="s">
        <v>102</v>
      </c>
      <c r="B137" s="194" t="s">
        <v>102</v>
      </c>
      <c r="C137" s="195">
        <v>16929</v>
      </c>
      <c r="D137" s="195">
        <v>46105</v>
      </c>
      <c r="E137" s="195">
        <v>39073</v>
      </c>
      <c r="F137" s="195">
        <v>43847</v>
      </c>
      <c r="G137" s="195">
        <v>42303</v>
      </c>
      <c r="H137" s="195">
        <v>54056</v>
      </c>
      <c r="I137" s="196">
        <f>IFERROR(H137/G137-1,"-")</f>
        <v>0.27782899557950969</v>
      </c>
      <c r="J137" s="195">
        <f t="shared" si="45"/>
        <v>11753</v>
      </c>
      <c r="K137" s="196">
        <f>H137/H$8</f>
        <v>2.0628336158077716E-3</v>
      </c>
      <c r="L137" s="103"/>
    </row>
    <row r="138" spans="1:12" x14ac:dyDescent="0.25">
      <c r="A138" s="193"/>
      <c r="B138" s="190" t="s">
        <v>109</v>
      </c>
      <c r="C138" s="191">
        <v>451696</v>
      </c>
      <c r="D138" s="191">
        <v>259360</v>
      </c>
      <c r="E138" s="191">
        <v>1202003</v>
      </c>
      <c r="F138" s="191">
        <v>1297511</v>
      </c>
      <c r="G138" s="191">
        <v>1406959</v>
      </c>
      <c r="H138" s="191">
        <v>1405643</v>
      </c>
      <c r="I138" s="192">
        <f>IFERROR(H138/G138-1,"-")</f>
        <v>-9.353506392154598E-4</v>
      </c>
      <c r="J138" s="191">
        <f t="shared" si="45"/>
        <v>-1316</v>
      </c>
      <c r="K138" s="192">
        <f>H138/H$8</f>
        <v>5.3640810126995772E-2</v>
      </c>
      <c r="L138" s="103"/>
    </row>
    <row r="139" spans="1:12" s="74" customFormat="1" x14ac:dyDescent="0.25">
      <c r="A139" s="193"/>
      <c r="B139" s="194" t="s">
        <v>112</v>
      </c>
      <c r="C139" s="195">
        <v>201614</v>
      </c>
      <c r="D139" s="195">
        <v>41816</v>
      </c>
      <c r="E139" s="195">
        <v>545991</v>
      </c>
      <c r="F139" s="195">
        <v>546223</v>
      </c>
      <c r="G139" s="195">
        <v>642780</v>
      </c>
      <c r="H139" s="195">
        <v>675423</v>
      </c>
      <c r="I139" s="196">
        <f t="shared" ref="I139:I146" si="46">IFERROR(H139/G139-1,"-")</f>
        <v>5.0784094091290921E-2</v>
      </c>
      <c r="J139" s="195">
        <f t="shared" si="45"/>
        <v>32643</v>
      </c>
      <c r="K139" s="196">
        <f t="shared" ref="K139:K146" si="47">H139/H$8</f>
        <v>2.5774849587274908E-2</v>
      </c>
      <c r="L139" s="197"/>
    </row>
    <row r="140" spans="1:12" s="74" customFormat="1" x14ac:dyDescent="0.25">
      <c r="A140" s="193"/>
      <c r="B140" s="194" t="s">
        <v>115</v>
      </c>
      <c r="C140" s="195">
        <v>33554</v>
      </c>
      <c r="D140" s="195">
        <v>27997</v>
      </c>
      <c r="E140" s="195">
        <v>87472</v>
      </c>
      <c r="F140" s="195">
        <v>126602</v>
      </c>
      <c r="G140" s="195">
        <v>137590</v>
      </c>
      <c r="H140" s="195">
        <v>135228</v>
      </c>
      <c r="I140" s="196">
        <f t="shared" si="46"/>
        <v>-1.716694527218543E-2</v>
      </c>
      <c r="J140" s="195">
        <f t="shared" si="45"/>
        <v>-2362</v>
      </c>
      <c r="K140" s="196">
        <f t="shared" si="47"/>
        <v>5.1604422117517632E-3</v>
      </c>
      <c r="L140" s="197"/>
    </row>
    <row r="141" spans="1:12" x14ac:dyDescent="0.25">
      <c r="A141" s="193"/>
      <c r="B141" s="194" t="s">
        <v>118</v>
      </c>
      <c r="C141" s="195">
        <v>31657</v>
      </c>
      <c r="D141" s="195">
        <v>51409</v>
      </c>
      <c r="E141" s="195">
        <v>129202</v>
      </c>
      <c r="F141" s="195">
        <v>125634</v>
      </c>
      <c r="G141" s="195">
        <v>132022</v>
      </c>
      <c r="H141" s="195">
        <v>121631</v>
      </c>
      <c r="I141" s="196">
        <f t="shared" si="46"/>
        <v>-7.870657920649593E-2</v>
      </c>
      <c r="J141" s="195">
        <f t="shared" si="45"/>
        <v>-10391</v>
      </c>
      <c r="K141" s="196">
        <f t="shared" si="47"/>
        <v>4.6415664408079593E-3</v>
      </c>
      <c r="L141" s="103"/>
    </row>
    <row r="142" spans="1:12" x14ac:dyDescent="0.25">
      <c r="A142" s="193"/>
      <c r="B142" s="194" t="s">
        <v>125</v>
      </c>
      <c r="C142" s="195">
        <v>6814</v>
      </c>
      <c r="D142" s="195">
        <v>6432</v>
      </c>
      <c r="E142" s="195">
        <v>48781</v>
      </c>
      <c r="F142" s="195">
        <v>59613</v>
      </c>
      <c r="G142" s="195">
        <v>46562</v>
      </c>
      <c r="H142" s="195">
        <v>40018</v>
      </c>
      <c r="I142" s="196">
        <f t="shared" si="46"/>
        <v>-0.14054379107426662</v>
      </c>
      <c r="J142" s="195">
        <f t="shared" si="45"/>
        <v>-6544</v>
      </c>
      <c r="K142" s="196">
        <f t="shared" si="47"/>
        <v>1.5271288226541993E-3</v>
      </c>
      <c r="L142" s="103"/>
    </row>
    <row r="143" spans="1:12" x14ac:dyDescent="0.25">
      <c r="A143" s="193"/>
      <c r="B143" s="194" t="s">
        <v>121</v>
      </c>
      <c r="C143" s="195">
        <v>10282</v>
      </c>
      <c r="D143" s="195">
        <v>10605</v>
      </c>
      <c r="E143" s="195">
        <v>23580</v>
      </c>
      <c r="F143" s="195">
        <v>29909</v>
      </c>
      <c r="G143" s="195">
        <v>33614</v>
      </c>
      <c r="H143" s="195">
        <v>24116</v>
      </c>
      <c r="I143" s="196">
        <f t="shared" si="46"/>
        <v>-0.28256083774617724</v>
      </c>
      <c r="J143" s="195">
        <f t="shared" si="45"/>
        <v>-9498</v>
      </c>
      <c r="K143" s="196">
        <f t="shared" si="47"/>
        <v>9.2029183585208335E-4</v>
      </c>
      <c r="L143" s="103"/>
    </row>
    <row r="144" spans="1:12" x14ac:dyDescent="0.25">
      <c r="A144" s="193"/>
      <c r="B144" s="194" t="s">
        <v>130</v>
      </c>
      <c r="C144" s="195">
        <v>15295</v>
      </c>
      <c r="D144" s="195">
        <v>452</v>
      </c>
      <c r="E144" s="195">
        <v>14810</v>
      </c>
      <c r="F144" s="195">
        <v>18646</v>
      </c>
      <c r="G144" s="195">
        <v>16618</v>
      </c>
      <c r="H144" s="195">
        <v>18598</v>
      </c>
      <c r="I144" s="196">
        <f t="shared" si="46"/>
        <v>0.11914791190275609</v>
      </c>
      <c r="J144" s="195">
        <f t="shared" si="45"/>
        <v>1980</v>
      </c>
      <c r="K144" s="196">
        <f t="shared" si="47"/>
        <v>7.0971917246546057E-4</v>
      </c>
      <c r="L144" s="103"/>
    </row>
    <row r="145" spans="1:12" x14ac:dyDescent="0.25">
      <c r="A145" s="193" t="s">
        <v>146</v>
      </c>
      <c r="B145" s="194" t="s">
        <v>133</v>
      </c>
      <c r="C145" s="195">
        <v>28797</v>
      </c>
      <c r="D145" s="195">
        <v>206</v>
      </c>
      <c r="E145" s="195">
        <v>6614</v>
      </c>
      <c r="F145" s="195">
        <v>12913</v>
      </c>
      <c r="G145" s="195">
        <v>10719</v>
      </c>
      <c r="H145" s="195">
        <v>9034</v>
      </c>
      <c r="I145" s="196">
        <f t="shared" si="46"/>
        <v>-0.15719749976676933</v>
      </c>
      <c r="J145" s="195">
        <f t="shared" si="45"/>
        <v>-1685</v>
      </c>
      <c r="K145" s="196">
        <f t="shared" si="47"/>
        <v>3.4474690848763147E-4</v>
      </c>
      <c r="L145" s="103"/>
    </row>
    <row r="146" spans="1:12" x14ac:dyDescent="0.25">
      <c r="A146" s="193" t="s">
        <v>147</v>
      </c>
      <c r="B146" s="199" t="s">
        <v>147</v>
      </c>
      <c r="C146" s="200">
        <f t="shared" ref="C146" si="48">C138-SUM(C139:C145)</f>
        <v>123683</v>
      </c>
      <c r="D146" s="200">
        <f t="shared" ref="D146:H146" si="49">D138-SUM(D139:D145)</f>
        <v>120443</v>
      </c>
      <c r="E146" s="200">
        <f t="shared" si="49"/>
        <v>345553</v>
      </c>
      <c r="F146" s="200">
        <f t="shared" si="49"/>
        <v>377971</v>
      </c>
      <c r="G146" s="200">
        <f t="shared" si="49"/>
        <v>387054</v>
      </c>
      <c r="H146" s="200">
        <f t="shared" si="49"/>
        <v>381595</v>
      </c>
      <c r="I146" s="201">
        <f t="shared" si="46"/>
        <v>-1.4103975155921433E-2</v>
      </c>
      <c r="J146" s="200">
        <f>H146-G146</f>
        <v>-5459</v>
      </c>
      <c r="K146" s="201">
        <f t="shared" si="47"/>
        <v>1.4562065147701765E-2</v>
      </c>
      <c r="L146" s="103"/>
    </row>
    <row r="147" spans="1:12" s="177" customFormat="1" x14ac:dyDescent="0.25">
      <c r="A147" s="193"/>
      <c r="B147" s="186" t="s">
        <v>55</v>
      </c>
      <c r="C147" s="184"/>
      <c r="D147" s="184"/>
      <c r="E147" s="184"/>
      <c r="F147" s="184"/>
      <c r="G147" s="184"/>
      <c r="H147" s="184"/>
      <c r="I147" s="184"/>
      <c r="J147" s="184"/>
      <c r="K147" s="184"/>
    </row>
    <row r="148" spans="1:12" x14ac:dyDescent="0.25">
      <c r="A148" s="193"/>
      <c r="B148" s="187" t="s">
        <v>70</v>
      </c>
      <c r="C148" s="209">
        <v>197758</v>
      </c>
      <c r="D148" s="209">
        <v>170599</v>
      </c>
      <c r="E148" s="209">
        <v>445863</v>
      </c>
      <c r="F148" s="209">
        <v>584100</v>
      </c>
      <c r="G148" s="209">
        <v>558569</v>
      </c>
      <c r="H148" s="209">
        <v>553190</v>
      </c>
      <c r="I148" s="210">
        <f>IFERROR(H148/G148-1,"-")</f>
        <v>-9.6299651430709066E-3</v>
      </c>
      <c r="J148" s="209">
        <f>H148-G148</f>
        <v>-5379</v>
      </c>
      <c r="K148" s="210">
        <f>H148/H$8</f>
        <v>2.1110310195513932E-2</v>
      </c>
      <c r="L148" s="103"/>
    </row>
    <row r="149" spans="1:12" x14ac:dyDescent="0.25">
      <c r="A149" s="193" t="s">
        <v>98</v>
      </c>
      <c r="B149" s="190" t="s">
        <v>99</v>
      </c>
      <c r="C149" s="191">
        <v>72110</v>
      </c>
      <c r="D149" s="191">
        <v>80567</v>
      </c>
      <c r="E149" s="191">
        <v>187489</v>
      </c>
      <c r="F149" s="191">
        <v>237265</v>
      </c>
      <c r="G149" s="191">
        <v>216824</v>
      </c>
      <c r="H149" s="191">
        <v>204183</v>
      </c>
      <c r="I149" s="192">
        <f>IFERROR(H149/G149-1,"-")</f>
        <v>-5.8300741615319285E-2</v>
      </c>
      <c r="J149" s="191">
        <f t="shared" ref="J149:J159" si="50">H149-G149</f>
        <v>-12641</v>
      </c>
      <c r="K149" s="192">
        <f>H149/H$8</f>
        <v>7.791837283122654E-3</v>
      </c>
      <c r="L149" s="103"/>
    </row>
    <row r="150" spans="1:12" x14ac:dyDescent="0.25">
      <c r="A150" s="193" t="s">
        <v>105</v>
      </c>
      <c r="B150" s="194" t="s">
        <v>105</v>
      </c>
      <c r="C150" s="195">
        <v>30833</v>
      </c>
      <c r="D150" s="195">
        <v>57008</v>
      </c>
      <c r="E150" s="195">
        <v>112268</v>
      </c>
      <c r="F150" s="195">
        <v>162008</v>
      </c>
      <c r="G150" s="195">
        <v>142328</v>
      </c>
      <c r="H150" s="195">
        <v>119451</v>
      </c>
      <c r="I150" s="196">
        <f>IFERROR(H150/G150-1,"-")</f>
        <v>-0.16073436006969821</v>
      </c>
      <c r="J150" s="195">
        <f t="shared" si="50"/>
        <v>-22877</v>
      </c>
      <c r="K150" s="196">
        <f>H150/H$8</f>
        <v>4.5583753559614868E-3</v>
      </c>
      <c r="L150" s="103"/>
    </row>
    <row r="151" spans="1:12" x14ac:dyDescent="0.25">
      <c r="A151" s="193" t="s">
        <v>102</v>
      </c>
      <c r="B151" s="194" t="s">
        <v>102</v>
      </c>
      <c r="C151" s="195">
        <v>41277</v>
      </c>
      <c r="D151" s="195">
        <v>23559</v>
      </c>
      <c r="E151" s="195">
        <v>75221</v>
      </c>
      <c r="F151" s="195">
        <v>75257</v>
      </c>
      <c r="G151" s="195">
        <v>74496</v>
      </c>
      <c r="H151" s="195">
        <v>84732</v>
      </c>
      <c r="I151" s="196">
        <f>IFERROR(H151/G151-1,"-")</f>
        <v>0.13740335051546393</v>
      </c>
      <c r="J151" s="195">
        <f t="shared" si="50"/>
        <v>10236</v>
      </c>
      <c r="K151" s="196">
        <f>H151/H$8</f>
        <v>3.2334619271611681E-3</v>
      </c>
      <c r="L151" s="103"/>
    </row>
    <row r="152" spans="1:12" x14ac:dyDescent="0.25">
      <c r="A152" s="193"/>
      <c r="B152" s="190" t="s">
        <v>109</v>
      </c>
      <c r="C152" s="191">
        <v>125648</v>
      </c>
      <c r="D152" s="191">
        <v>90032</v>
      </c>
      <c r="E152" s="191">
        <v>258374</v>
      </c>
      <c r="F152" s="191">
        <v>346835</v>
      </c>
      <c r="G152" s="191">
        <v>341745</v>
      </c>
      <c r="H152" s="191">
        <v>349007</v>
      </c>
      <c r="I152" s="192">
        <f>IFERROR(H152/G152-1,"-")</f>
        <v>2.1249762249630599E-2</v>
      </c>
      <c r="J152" s="191">
        <f t="shared" si="50"/>
        <v>7262</v>
      </c>
      <c r="K152" s="192">
        <f>H152/H$8</f>
        <v>1.3318472912391278E-2</v>
      </c>
      <c r="L152" s="103"/>
    </row>
    <row r="153" spans="1:12" s="74" customFormat="1" x14ac:dyDescent="0.25">
      <c r="A153" s="193"/>
      <c r="B153" s="194" t="s">
        <v>112</v>
      </c>
      <c r="C153" s="195">
        <v>26762</v>
      </c>
      <c r="D153" s="195">
        <v>8983</v>
      </c>
      <c r="E153" s="195">
        <v>97171</v>
      </c>
      <c r="F153" s="195">
        <v>134849</v>
      </c>
      <c r="G153" s="195">
        <v>122171</v>
      </c>
      <c r="H153" s="195">
        <v>75515</v>
      </c>
      <c r="I153" s="196">
        <f t="shared" ref="I153:I160" si="51">IFERROR(H153/G153-1,"-")</f>
        <v>-0.38189095611888257</v>
      </c>
      <c r="J153" s="195">
        <f t="shared" si="50"/>
        <v>-46656</v>
      </c>
      <c r="K153" s="196">
        <f t="shared" ref="K153:K160" si="52">H153/H$8</f>
        <v>2.881731546872204E-3</v>
      </c>
      <c r="L153" s="197"/>
    </row>
    <row r="154" spans="1:12" s="74" customFormat="1" x14ac:dyDescent="0.25">
      <c r="A154" s="193"/>
      <c r="B154" s="194" t="s">
        <v>115</v>
      </c>
      <c r="C154" s="195">
        <v>45902</v>
      </c>
      <c r="D154" s="195">
        <v>24074</v>
      </c>
      <c r="E154" s="195">
        <v>65713</v>
      </c>
      <c r="F154" s="195">
        <v>71117</v>
      </c>
      <c r="G154" s="195">
        <v>72000</v>
      </c>
      <c r="H154" s="195">
        <v>66865</v>
      </c>
      <c r="I154" s="196">
        <f t="shared" si="51"/>
        <v>-7.1319444444444491E-2</v>
      </c>
      <c r="J154" s="195">
        <f t="shared" si="50"/>
        <v>-5135</v>
      </c>
      <c r="K154" s="196">
        <f t="shared" si="52"/>
        <v>2.5516384808529423E-3</v>
      </c>
      <c r="L154" s="197"/>
    </row>
    <row r="155" spans="1:12" x14ac:dyDescent="0.25">
      <c r="A155" s="193"/>
      <c r="B155" s="194" t="s">
        <v>118</v>
      </c>
      <c r="C155" s="195">
        <v>12904</v>
      </c>
      <c r="D155" s="195">
        <v>18104</v>
      </c>
      <c r="E155" s="195">
        <v>27871</v>
      </c>
      <c r="F155" s="195">
        <v>53171</v>
      </c>
      <c r="G155" s="195">
        <v>43872</v>
      </c>
      <c r="H155" s="195">
        <v>116598</v>
      </c>
      <c r="I155" s="196">
        <f t="shared" si="51"/>
        <v>1.6576859956236323</v>
      </c>
      <c r="J155" s="195">
        <f t="shared" si="50"/>
        <v>72726</v>
      </c>
      <c r="K155" s="196">
        <f t="shared" si="52"/>
        <v>4.4495018857472722E-3</v>
      </c>
      <c r="L155" s="103"/>
    </row>
    <row r="156" spans="1:12" x14ac:dyDescent="0.25">
      <c r="A156" s="193"/>
      <c r="B156" s="194" t="s">
        <v>125</v>
      </c>
      <c r="C156" s="195">
        <v>2471</v>
      </c>
      <c r="D156" s="195">
        <v>2515</v>
      </c>
      <c r="E156" s="195">
        <v>5946</v>
      </c>
      <c r="F156" s="195">
        <v>8704</v>
      </c>
      <c r="G156" s="195">
        <v>11424</v>
      </c>
      <c r="H156" s="195">
        <v>9125</v>
      </c>
      <c r="I156" s="196">
        <f t="shared" si="51"/>
        <v>-0.2012429971988795</v>
      </c>
      <c r="J156" s="195">
        <f t="shared" si="50"/>
        <v>-2299</v>
      </c>
      <c r="K156" s="196">
        <f t="shared" si="52"/>
        <v>3.482195638642503E-4</v>
      </c>
      <c r="L156" s="103"/>
    </row>
    <row r="157" spans="1:12" x14ac:dyDescent="0.25">
      <c r="A157" s="193"/>
      <c r="B157" s="194" t="s">
        <v>121</v>
      </c>
      <c r="C157" s="195">
        <v>8377</v>
      </c>
      <c r="D157" s="195">
        <v>7760</v>
      </c>
      <c r="E157" s="195">
        <v>21657</v>
      </c>
      <c r="F157" s="195">
        <v>17333</v>
      </c>
      <c r="G157" s="195">
        <v>20183</v>
      </c>
      <c r="H157" s="195">
        <v>14909</v>
      </c>
      <c r="I157" s="196">
        <f t="shared" si="51"/>
        <v>-0.26130902244463161</v>
      </c>
      <c r="J157" s="195">
        <f t="shared" si="50"/>
        <v>-5274</v>
      </c>
      <c r="K157" s="196">
        <f t="shared" si="52"/>
        <v>5.6894306604406662E-4</v>
      </c>
      <c r="L157" s="103"/>
    </row>
    <row r="158" spans="1:12" x14ac:dyDescent="0.25">
      <c r="A158" s="193"/>
      <c r="B158" s="194" t="s">
        <v>130</v>
      </c>
      <c r="C158" s="195">
        <v>2803</v>
      </c>
      <c r="D158" s="195">
        <v>292</v>
      </c>
      <c r="E158" s="195">
        <v>1510</v>
      </c>
      <c r="F158" s="195">
        <v>3171</v>
      </c>
      <c r="G158" s="195">
        <v>2217</v>
      </c>
      <c r="H158" s="195">
        <v>1762</v>
      </c>
      <c r="I158" s="196">
        <f t="shared" si="51"/>
        <v>-0.20523229589535408</v>
      </c>
      <c r="J158" s="195">
        <f t="shared" si="50"/>
        <v>-455</v>
      </c>
      <c r="K158" s="196">
        <f t="shared" si="52"/>
        <v>6.7239766742883185E-5</v>
      </c>
      <c r="L158" s="103"/>
    </row>
    <row r="159" spans="1:12" x14ac:dyDescent="0.25">
      <c r="A159" s="193" t="s">
        <v>146</v>
      </c>
      <c r="B159" s="194" t="s">
        <v>133</v>
      </c>
      <c r="C159" s="195">
        <v>3726</v>
      </c>
      <c r="D159" s="195">
        <v>189</v>
      </c>
      <c r="E159" s="195">
        <v>2647</v>
      </c>
      <c r="F159" s="195">
        <v>4002</v>
      </c>
      <c r="G159" s="195">
        <v>3748</v>
      </c>
      <c r="H159" s="195">
        <v>2798</v>
      </c>
      <c r="I159" s="196">
        <f t="shared" si="51"/>
        <v>-0.25346851654215585</v>
      </c>
      <c r="J159" s="195">
        <f t="shared" si="50"/>
        <v>-950</v>
      </c>
      <c r="K159" s="196">
        <f t="shared" si="52"/>
        <v>1.067746125690052E-4</v>
      </c>
      <c r="L159" s="103"/>
    </row>
    <row r="160" spans="1:12" x14ac:dyDescent="0.25">
      <c r="A160" s="193" t="s">
        <v>147</v>
      </c>
      <c r="B160" s="199" t="s">
        <v>147</v>
      </c>
      <c r="C160" s="200">
        <f t="shared" ref="C160" si="53">C152-SUM(C153:C159)</f>
        <v>22703</v>
      </c>
      <c r="D160" s="200">
        <f t="shared" ref="D160:H160" si="54">D152-SUM(D153:D159)</f>
        <v>28115</v>
      </c>
      <c r="E160" s="200">
        <f t="shared" si="54"/>
        <v>35859</v>
      </c>
      <c r="F160" s="200">
        <f t="shared" si="54"/>
        <v>54488</v>
      </c>
      <c r="G160" s="200">
        <f t="shared" si="54"/>
        <v>66130</v>
      </c>
      <c r="H160" s="200">
        <f t="shared" si="54"/>
        <v>61435</v>
      </c>
      <c r="I160" s="201">
        <f t="shared" si="51"/>
        <v>-7.0996522002117035E-2</v>
      </c>
      <c r="J160" s="200">
        <f>H160-G160</f>
        <v>-4695</v>
      </c>
      <c r="K160" s="201">
        <f t="shared" si="52"/>
        <v>2.3444239896986542E-3</v>
      </c>
      <c r="L160" s="103"/>
    </row>
    <row r="161" spans="2:14" ht="6" customHeight="1" x14ac:dyDescent="0.25">
      <c r="B161" s="202"/>
      <c r="C161" s="202"/>
      <c r="D161" s="202"/>
      <c r="E161" s="202"/>
      <c r="F161" s="202"/>
      <c r="G161" s="202"/>
      <c r="H161" s="202"/>
      <c r="I161" s="202"/>
      <c r="J161" s="202"/>
      <c r="K161" s="202"/>
      <c r="L161" s="202"/>
      <c r="M161" s="202"/>
      <c r="N161" s="202"/>
    </row>
    <row r="162" spans="2:14" x14ac:dyDescent="0.25">
      <c r="B162" s="131" t="s">
        <v>57</v>
      </c>
      <c r="C162" s="131"/>
      <c r="D162" s="131"/>
      <c r="E162" s="131"/>
      <c r="F162" s="131"/>
      <c r="G162" s="131"/>
      <c r="H162" s="131"/>
      <c r="I162" s="131"/>
      <c r="J162" s="131"/>
      <c r="K162" s="131"/>
      <c r="L162" s="131"/>
      <c r="M162" s="131"/>
      <c r="N162" s="131"/>
    </row>
  </sheetData>
  <mergeCells count="2">
    <mergeCell ref="B3:K3"/>
    <mergeCell ref="C5:K5"/>
  </mergeCells>
  <pageMargins left="0.25" right="0.25" top="0.75" bottom="0.75" header="0.3" footer="0.3"/>
  <pageSetup paperSize="9" scale="20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A1583-A613-4A28-81F1-F9A68EE089D5}">
  <sheetPr>
    <tabColor rgb="FFF29140"/>
    <pageSetUpPr fitToPage="1"/>
  </sheetPr>
  <dimension ref="A1:P162"/>
  <sheetViews>
    <sheetView showGridLines="0" workbookViewId="0">
      <selection activeCell="G10" sqref="G10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2" max="12" width="11.28515625" customWidth="1"/>
    <col min="13" max="13" width="10.5703125" customWidth="1"/>
  </cols>
  <sheetData>
    <row r="1" spans="1:14" ht="42.75" customHeight="1" x14ac:dyDescent="0.25"/>
    <row r="4" spans="1:14" ht="42" customHeight="1" thickBot="1" x14ac:dyDescent="0.3">
      <c r="B4" s="12" t="str">
        <f>CONCATENATE("Pernoctaciones en los establecimientos alojativos de Tenerife según lugar de residencia y municipio de alojamiento (hotel + apartamento)")</f>
        <v>Pernoctaciones en los establecimientos alojativos de Tenerife según lugar de residencia y municipio de alojamiento (hotel + apartamento)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4" ht="6" customHeight="1" x14ac:dyDescent="0.25"/>
    <row r="6" spans="1:14" s="177" customFormat="1" ht="72" customHeight="1" x14ac:dyDescent="0.25">
      <c r="B6" s="178"/>
      <c r="C6" s="218">
        <v>2019</v>
      </c>
      <c r="D6" s="218">
        <v>2020</v>
      </c>
      <c r="E6" s="218">
        <v>2021</v>
      </c>
      <c r="F6" s="218">
        <v>2022</v>
      </c>
      <c r="G6" s="218">
        <v>2023</v>
      </c>
      <c r="H6" s="218">
        <v>2024</v>
      </c>
      <c r="I6" s="206" t="str">
        <f>CONCATENATE("var. ",RIGHT(H6,2),"/",RIGHT(G6,2))</f>
        <v>var. 24/23</v>
      </c>
      <c r="J6" s="206" t="str">
        <f>CONCATENATE("var. ",RIGHT(H6,2),"/",RIGHT(E6,2))</f>
        <v>var. 24/21</v>
      </c>
      <c r="K6" s="205" t="str">
        <f>CONCATENATE("dif. ",RIGHT(H6,2),"/",RIGHT(G6,2))</f>
        <v>dif. 24/23</v>
      </c>
      <c r="L6" s="205" t="str">
        <f>CONCATENATE("dif. ",RIGHT(H6,2),"/",RIGHT(E6,2))</f>
        <v>dif. 24/21</v>
      </c>
      <c r="M6" s="206" t="str">
        <f>CONCATENATE("Cuota s/ total lugares de residencia ",RIGHT(H6,4))</f>
        <v>Cuota s/ total lugares de residencia 2024</v>
      </c>
    </row>
    <row r="7" spans="1:14" s="177" customFormat="1" x14ac:dyDescent="0.25">
      <c r="B7" s="183" t="s">
        <v>45</v>
      </c>
      <c r="C7" s="184"/>
      <c r="D7" s="184"/>
      <c r="E7" s="184"/>
      <c r="F7" s="184"/>
      <c r="G7" s="184"/>
      <c r="H7" s="184"/>
      <c r="I7" s="184"/>
      <c r="J7" s="184"/>
      <c r="K7" s="184"/>
      <c r="L7" s="184"/>
      <c r="M7" s="184"/>
    </row>
    <row r="8" spans="1:14" x14ac:dyDescent="0.25">
      <c r="A8" s="1">
        <v>3</v>
      </c>
      <c r="B8" s="187" t="s">
        <v>70</v>
      </c>
      <c r="C8" s="209">
        <v>34034766</v>
      </c>
      <c r="D8" s="209">
        <v>10243785</v>
      </c>
      <c r="E8" s="209">
        <v>13903380</v>
      </c>
      <c r="F8" s="209">
        <v>31405937</v>
      </c>
      <c r="G8" s="209">
        <v>34509923</v>
      </c>
      <c r="H8" s="209">
        <v>36076748</v>
      </c>
      <c r="I8" s="210">
        <f>IFERROR(H8/G8-1,"-")</f>
        <v>4.540215867766495E-2</v>
      </c>
      <c r="J8" s="210">
        <f>IFERROR(H8/E8-1,"-")</f>
        <v>1.5948185261425638</v>
      </c>
      <c r="K8" s="209">
        <f>H8-G8</f>
        <v>1566825</v>
      </c>
      <c r="L8" s="209">
        <f>H8-E8</f>
        <v>22173368</v>
      </c>
      <c r="M8" s="210">
        <f>H8/H$8</f>
        <v>1</v>
      </c>
      <c r="N8" s="103"/>
    </row>
    <row r="9" spans="1:14" x14ac:dyDescent="0.25">
      <c r="A9" s="1" t="s">
        <v>98</v>
      </c>
      <c r="B9" s="190" t="s">
        <v>99</v>
      </c>
      <c r="C9" s="191">
        <v>4613933</v>
      </c>
      <c r="D9" s="191">
        <v>1666329</v>
      </c>
      <c r="E9" s="191">
        <v>2851484</v>
      </c>
      <c r="F9" s="191">
        <v>4154268</v>
      </c>
      <c r="G9" s="191">
        <v>4256196</v>
      </c>
      <c r="H9" s="191">
        <v>4222474</v>
      </c>
      <c r="I9" s="192">
        <f>IFERROR(H9/G9-1,"-")</f>
        <v>-7.9230373789177522E-3</v>
      </c>
      <c r="J9" s="211">
        <f t="shared" ref="J9:J20" si="0">IFERROR(H9/E9-1,"-")</f>
        <v>0.48079877004394911</v>
      </c>
      <c r="K9" s="191">
        <f t="shared" ref="K9:K19" si="1">H9-G9</f>
        <v>-33722</v>
      </c>
      <c r="L9" s="191">
        <f t="shared" ref="L9:L20" si="2">H9-E9</f>
        <v>1370990</v>
      </c>
      <c r="M9" s="192">
        <f>H9/H$8</f>
        <v>0.11704142513066865</v>
      </c>
      <c r="N9" s="103"/>
    </row>
    <row r="10" spans="1:14" x14ac:dyDescent="0.25">
      <c r="A10" s="193" t="s">
        <v>105</v>
      </c>
      <c r="B10" s="194" t="s">
        <v>105</v>
      </c>
      <c r="C10" s="195">
        <v>1301233</v>
      </c>
      <c r="D10" s="195">
        <v>564792</v>
      </c>
      <c r="E10" s="195">
        <v>1116779</v>
      </c>
      <c r="F10" s="195">
        <v>1214668</v>
      </c>
      <c r="G10" s="195">
        <v>1317693</v>
      </c>
      <c r="H10" s="195">
        <v>1326202</v>
      </c>
      <c r="I10" s="196">
        <f>IFERROR(H10/G10-1,"-")</f>
        <v>6.4574980666969317E-3</v>
      </c>
      <c r="J10" s="212">
        <f t="shared" si="0"/>
        <v>0.18752412070785707</v>
      </c>
      <c r="K10" s="195">
        <f t="shared" si="1"/>
        <v>8509</v>
      </c>
      <c r="L10" s="195">
        <f t="shared" si="2"/>
        <v>209423</v>
      </c>
      <c r="M10" s="196">
        <f>H10/H$8</f>
        <v>3.676057498308883E-2</v>
      </c>
      <c r="N10" s="103"/>
    </row>
    <row r="11" spans="1:14" x14ac:dyDescent="0.25">
      <c r="A11" s="193" t="s">
        <v>102</v>
      </c>
      <c r="B11" s="194" t="s">
        <v>102</v>
      </c>
      <c r="C11" s="195">
        <v>3312700</v>
      </c>
      <c r="D11" s="195">
        <v>1101537</v>
      </c>
      <c r="E11" s="195">
        <v>1734705</v>
      </c>
      <c r="F11" s="195">
        <v>2939600</v>
      </c>
      <c r="G11" s="195">
        <v>2938503</v>
      </c>
      <c r="H11" s="195">
        <v>2896272</v>
      </c>
      <c r="I11" s="196">
        <f>IFERROR(H11/G11-1,"-")</f>
        <v>-1.4371603500149543E-2</v>
      </c>
      <c r="J11" s="212">
        <f t="shared" si="0"/>
        <v>0.66960491841552305</v>
      </c>
      <c r="K11" s="195">
        <f t="shared" si="1"/>
        <v>-42231</v>
      </c>
      <c r="L11" s="195">
        <f t="shared" si="2"/>
        <v>1161567</v>
      </c>
      <c r="M11" s="196">
        <f>H11/H$8</f>
        <v>8.0280850147579824E-2</v>
      </c>
      <c r="N11" s="103"/>
    </row>
    <row r="12" spans="1:14" x14ac:dyDescent="0.25">
      <c r="A12" s="1"/>
      <c r="B12" s="190" t="s">
        <v>109</v>
      </c>
      <c r="C12" s="191">
        <v>29420833</v>
      </c>
      <c r="D12" s="191">
        <v>8577456</v>
      </c>
      <c r="E12" s="191">
        <v>11051896</v>
      </c>
      <c r="F12" s="191">
        <v>27251669</v>
      </c>
      <c r="G12" s="191">
        <v>30253727</v>
      </c>
      <c r="H12" s="191">
        <v>31854274</v>
      </c>
      <c r="I12" s="192">
        <f>IFERROR(H12/G12-1,"-")</f>
        <v>5.2904126489936365E-2</v>
      </c>
      <c r="J12" s="211">
        <f t="shared" si="0"/>
        <v>1.8822451821841248</v>
      </c>
      <c r="K12" s="191">
        <f t="shared" si="1"/>
        <v>1600547</v>
      </c>
      <c r="L12" s="191">
        <f t="shared" si="2"/>
        <v>20802378</v>
      </c>
      <c r="M12" s="192">
        <f>H12/H$8</f>
        <v>0.88295857486933138</v>
      </c>
      <c r="N12" s="103"/>
    </row>
    <row r="13" spans="1:14" s="74" customFormat="1" x14ac:dyDescent="0.25">
      <c r="B13" s="194" t="s">
        <v>112</v>
      </c>
      <c r="C13" s="195">
        <v>13160030</v>
      </c>
      <c r="D13" s="195">
        <v>3390819</v>
      </c>
      <c r="E13" s="195">
        <v>3350798</v>
      </c>
      <c r="F13" s="195">
        <v>12657617</v>
      </c>
      <c r="G13" s="195">
        <v>13883101</v>
      </c>
      <c r="H13" s="195">
        <v>14673664</v>
      </c>
      <c r="I13" s="196">
        <f t="shared" ref="I13:I20" si="3">IFERROR(H13/G13-1,"-")</f>
        <v>5.6944266270194221E-2</v>
      </c>
      <c r="J13" s="212">
        <f t="shared" si="0"/>
        <v>3.3791550550048077</v>
      </c>
      <c r="K13" s="195">
        <f t="shared" si="1"/>
        <v>790563</v>
      </c>
      <c r="L13" s="195">
        <f t="shared" si="2"/>
        <v>11322866</v>
      </c>
      <c r="M13" s="196">
        <f t="shared" ref="M13:M20" si="4">H13/H$8</f>
        <v>0.40673466466545155</v>
      </c>
      <c r="N13" s="197"/>
    </row>
    <row r="14" spans="1:14" s="74" customFormat="1" x14ac:dyDescent="0.25">
      <c r="B14" s="194" t="s">
        <v>115</v>
      </c>
      <c r="C14" s="195">
        <v>4424103</v>
      </c>
      <c r="D14" s="195">
        <v>1278654</v>
      </c>
      <c r="E14" s="195">
        <v>1806937</v>
      </c>
      <c r="F14" s="195">
        <v>3169256</v>
      </c>
      <c r="G14" s="195">
        <v>3598054</v>
      </c>
      <c r="H14" s="195">
        <v>3756774</v>
      </c>
      <c r="I14" s="196">
        <f t="shared" si="3"/>
        <v>4.4112734272470533E-2</v>
      </c>
      <c r="J14" s="212">
        <f t="shared" si="0"/>
        <v>1.0790841075256083</v>
      </c>
      <c r="K14" s="195">
        <f t="shared" si="1"/>
        <v>158720</v>
      </c>
      <c r="L14" s="195">
        <f t="shared" si="2"/>
        <v>1949837</v>
      </c>
      <c r="M14" s="196">
        <f t="shared" si="4"/>
        <v>0.10413283370219512</v>
      </c>
      <c r="N14" s="197"/>
    </row>
    <row r="15" spans="1:14" x14ac:dyDescent="0.25">
      <c r="A15" s="1"/>
      <c r="B15" s="194" t="s">
        <v>118</v>
      </c>
      <c r="C15" s="195">
        <v>1180822</v>
      </c>
      <c r="D15" s="195">
        <v>395218</v>
      </c>
      <c r="E15" s="195">
        <v>815902</v>
      </c>
      <c r="F15" s="195">
        <v>1288352</v>
      </c>
      <c r="G15" s="195">
        <v>1520450</v>
      </c>
      <c r="H15" s="195">
        <v>1590542</v>
      </c>
      <c r="I15" s="196">
        <f t="shared" si="3"/>
        <v>4.6099510013482892E-2</v>
      </c>
      <c r="J15" s="212">
        <f t="shared" si="0"/>
        <v>0.94942774990133616</v>
      </c>
      <c r="K15" s="195">
        <f t="shared" si="1"/>
        <v>70092</v>
      </c>
      <c r="L15" s="195">
        <f t="shared" si="2"/>
        <v>774640</v>
      </c>
      <c r="M15" s="196">
        <f t="shared" si="4"/>
        <v>4.408773207607293E-2</v>
      </c>
      <c r="N15" s="103"/>
    </row>
    <row r="16" spans="1:14" x14ac:dyDescent="0.25">
      <c r="A16" s="1"/>
      <c r="B16" s="194" t="s">
        <v>125</v>
      </c>
      <c r="C16" s="195">
        <v>1116998</v>
      </c>
      <c r="D16" s="195">
        <v>302698</v>
      </c>
      <c r="E16" s="195">
        <v>691981</v>
      </c>
      <c r="F16" s="195">
        <v>1287744</v>
      </c>
      <c r="G16" s="195">
        <v>1318357</v>
      </c>
      <c r="H16" s="195">
        <v>1375692</v>
      </c>
      <c r="I16" s="196">
        <f t="shared" si="3"/>
        <v>4.3489737605216128E-2</v>
      </c>
      <c r="J16" s="212">
        <f t="shared" si="0"/>
        <v>0.98804880480822455</v>
      </c>
      <c r="K16" s="195">
        <f t="shared" si="1"/>
        <v>57335</v>
      </c>
      <c r="L16" s="195">
        <f t="shared" si="2"/>
        <v>683711</v>
      </c>
      <c r="M16" s="196">
        <f t="shared" si="4"/>
        <v>3.8132372685032473E-2</v>
      </c>
      <c r="N16" s="103"/>
    </row>
    <row r="17" spans="1:14" x14ac:dyDescent="0.25">
      <c r="A17" s="1"/>
      <c r="B17" s="194" t="s">
        <v>121</v>
      </c>
      <c r="C17" s="195">
        <v>1084813</v>
      </c>
      <c r="D17" s="195">
        <v>443857</v>
      </c>
      <c r="E17" s="195">
        <v>726467</v>
      </c>
      <c r="F17" s="195">
        <v>1124652</v>
      </c>
      <c r="G17" s="195">
        <v>1172687</v>
      </c>
      <c r="H17" s="195">
        <v>1202962</v>
      </c>
      <c r="I17" s="196">
        <f t="shared" si="3"/>
        <v>2.5816778049044586E-2</v>
      </c>
      <c r="J17" s="212">
        <f t="shared" si="0"/>
        <v>0.65590728828701095</v>
      </c>
      <c r="K17" s="195">
        <f t="shared" si="1"/>
        <v>30275</v>
      </c>
      <c r="L17" s="195">
        <f t="shared" si="2"/>
        <v>476495</v>
      </c>
      <c r="M17" s="196">
        <f t="shared" si="4"/>
        <v>3.3344524290271398E-2</v>
      </c>
      <c r="N17" s="103"/>
    </row>
    <row r="18" spans="1:14" x14ac:dyDescent="0.25">
      <c r="A18" s="1"/>
      <c r="B18" s="194" t="s">
        <v>130</v>
      </c>
      <c r="C18" s="195">
        <v>594834</v>
      </c>
      <c r="D18" s="195">
        <v>241432</v>
      </c>
      <c r="E18" s="195">
        <v>191434</v>
      </c>
      <c r="F18" s="195">
        <v>491173</v>
      </c>
      <c r="G18" s="195">
        <v>523681</v>
      </c>
      <c r="H18" s="195">
        <v>511763</v>
      </c>
      <c r="I18" s="196">
        <f t="shared" si="3"/>
        <v>-2.2758129471949551E-2</v>
      </c>
      <c r="J18" s="212">
        <f t="shared" si="0"/>
        <v>1.6733129956016173</v>
      </c>
      <c r="K18" s="195">
        <f t="shared" si="1"/>
        <v>-11918</v>
      </c>
      <c r="L18" s="195">
        <f t="shared" si="2"/>
        <v>320329</v>
      </c>
      <c r="M18" s="196">
        <f t="shared" si="4"/>
        <v>1.4185397198217533E-2</v>
      </c>
      <c r="N18" s="103"/>
    </row>
    <row r="19" spans="1:14" x14ac:dyDescent="0.25">
      <c r="A19" s="193" t="s">
        <v>146</v>
      </c>
      <c r="B19" s="194" t="s">
        <v>133</v>
      </c>
      <c r="C19" s="195">
        <v>847396</v>
      </c>
      <c r="D19" s="195">
        <v>356220</v>
      </c>
      <c r="E19" s="195">
        <v>171613</v>
      </c>
      <c r="F19" s="195">
        <v>432862</v>
      </c>
      <c r="G19" s="195">
        <v>543249</v>
      </c>
      <c r="H19" s="195">
        <v>528059</v>
      </c>
      <c r="I19" s="196">
        <f t="shared" si="3"/>
        <v>-2.796139523496588E-2</v>
      </c>
      <c r="J19" s="212">
        <f t="shared" si="0"/>
        <v>2.0770337911463583</v>
      </c>
      <c r="K19" s="195">
        <f t="shared" si="1"/>
        <v>-15190</v>
      </c>
      <c r="L19" s="195">
        <f t="shared" si="2"/>
        <v>356446</v>
      </c>
      <c r="M19" s="196">
        <f t="shared" si="4"/>
        <v>1.463710088281793E-2</v>
      </c>
      <c r="N19" s="103"/>
    </row>
    <row r="20" spans="1:14" x14ac:dyDescent="0.25">
      <c r="A20" s="198" t="s">
        <v>147</v>
      </c>
      <c r="B20" s="199" t="s">
        <v>147</v>
      </c>
      <c r="C20" s="200">
        <f t="shared" ref="C20" si="5">C12-SUM(C13:C19)</f>
        <v>7011837</v>
      </c>
      <c r="D20" s="200">
        <f t="shared" ref="D20:H20" si="6">D12-SUM(D13:D19)</f>
        <v>2168558</v>
      </c>
      <c r="E20" s="200">
        <f t="shared" si="6"/>
        <v>3296764</v>
      </c>
      <c r="F20" s="200">
        <f t="shared" si="6"/>
        <v>6800013</v>
      </c>
      <c r="G20" s="200">
        <f t="shared" si="6"/>
        <v>7694148</v>
      </c>
      <c r="H20" s="200">
        <f t="shared" si="6"/>
        <v>8214818</v>
      </c>
      <c r="I20" s="201">
        <f t="shared" si="3"/>
        <v>6.7670910411393281E-2</v>
      </c>
      <c r="J20" s="213">
        <f t="shared" si="0"/>
        <v>1.4917822446496021</v>
      </c>
      <c r="K20" s="200">
        <f>H20-G20</f>
        <v>520670</v>
      </c>
      <c r="L20" s="200">
        <f t="shared" si="2"/>
        <v>4918054</v>
      </c>
      <c r="M20" s="201">
        <f t="shared" si="4"/>
        <v>0.22770394936927241</v>
      </c>
      <c r="N20" s="103"/>
    </row>
    <row r="21" spans="1:14" s="177" customFormat="1" x14ac:dyDescent="0.25">
      <c r="B21" s="186" t="s">
        <v>46</v>
      </c>
      <c r="C21" s="184"/>
      <c r="D21" s="184"/>
      <c r="E21" s="184"/>
      <c r="F21" s="184"/>
      <c r="G21" s="184"/>
      <c r="H21" s="184"/>
      <c r="I21" s="184"/>
      <c r="J21" s="184"/>
      <c r="K21" s="184"/>
      <c r="L21" s="184"/>
      <c r="M21" s="184"/>
    </row>
    <row r="22" spans="1:14" x14ac:dyDescent="0.25">
      <c r="A22" s="1">
        <v>3</v>
      </c>
      <c r="B22" s="187" t="s">
        <v>70</v>
      </c>
      <c r="C22" s="209">
        <v>13105945</v>
      </c>
      <c r="D22" s="209">
        <v>3913809</v>
      </c>
      <c r="E22" s="209">
        <v>5763674</v>
      </c>
      <c r="F22" s="209">
        <v>12632387</v>
      </c>
      <c r="G22" s="209">
        <v>13590517</v>
      </c>
      <c r="H22" s="209">
        <v>13839613</v>
      </c>
      <c r="I22" s="210">
        <f>IFERROR(H22/G22-1,"-")</f>
        <v>1.8328662551983843E-2</v>
      </c>
      <c r="J22" s="210">
        <f>IFERROR(H22/E22-1,"-")</f>
        <v>1.4011790049194315</v>
      </c>
      <c r="K22" s="209">
        <f>H22-G22</f>
        <v>249096</v>
      </c>
      <c r="L22" s="209">
        <f>H22-E22</f>
        <v>8075939</v>
      </c>
      <c r="M22" s="210">
        <f>H22/H$8</f>
        <v>0.38361586803777326</v>
      </c>
      <c r="N22" s="103"/>
    </row>
    <row r="23" spans="1:14" x14ac:dyDescent="0.25">
      <c r="A23" s="1" t="s">
        <v>98</v>
      </c>
      <c r="B23" s="190" t="s">
        <v>99</v>
      </c>
      <c r="C23" s="191">
        <v>1013579</v>
      </c>
      <c r="D23" s="191">
        <v>419753</v>
      </c>
      <c r="E23" s="191">
        <v>926094</v>
      </c>
      <c r="F23" s="191">
        <v>924124</v>
      </c>
      <c r="G23" s="191">
        <v>817242</v>
      </c>
      <c r="H23" s="191">
        <v>742610</v>
      </c>
      <c r="I23" s="192">
        <f>IFERROR(H23/G23-1,"-")</f>
        <v>-9.132178718176498E-2</v>
      </c>
      <c r="J23" s="211">
        <f t="shared" ref="J23:J34" si="7">IFERROR(H23/E23-1,"-")</f>
        <v>-0.19812675603124519</v>
      </c>
      <c r="K23" s="191">
        <f t="shared" ref="K23:K33" si="8">H23-G23</f>
        <v>-74632</v>
      </c>
      <c r="L23" s="191">
        <f t="shared" ref="L23:L34" si="9">H23-E23</f>
        <v>-183484</v>
      </c>
      <c r="M23" s="192">
        <f>H23/H$8</f>
        <v>2.0584172387156402E-2</v>
      </c>
      <c r="N23" s="103"/>
    </row>
    <row r="24" spans="1:14" x14ac:dyDescent="0.25">
      <c r="A24" s="193" t="s">
        <v>105</v>
      </c>
      <c r="B24" s="194" t="s">
        <v>105</v>
      </c>
      <c r="C24" s="195">
        <v>409352</v>
      </c>
      <c r="D24" s="195">
        <v>197437</v>
      </c>
      <c r="E24" s="195">
        <v>341894</v>
      </c>
      <c r="F24" s="195">
        <v>286571</v>
      </c>
      <c r="G24" s="195">
        <v>256506</v>
      </c>
      <c r="H24" s="195">
        <v>219209</v>
      </c>
      <c r="I24" s="196">
        <f>IFERROR(H24/G24-1,"-")</f>
        <v>-0.14540400614410576</v>
      </c>
      <c r="J24" s="212">
        <f t="shared" si="7"/>
        <v>-0.35883928937038967</v>
      </c>
      <c r="K24" s="195">
        <f t="shared" si="8"/>
        <v>-37297</v>
      </c>
      <c r="L24" s="195">
        <f t="shared" si="9"/>
        <v>-122685</v>
      </c>
      <c r="M24" s="196">
        <f>H24/H$8</f>
        <v>6.0761851373078305E-3</v>
      </c>
      <c r="N24" s="103"/>
    </row>
    <row r="25" spans="1:14" x14ac:dyDescent="0.25">
      <c r="A25" s="193" t="s">
        <v>102</v>
      </c>
      <c r="B25" s="194" t="s">
        <v>102</v>
      </c>
      <c r="C25" s="195">
        <v>604227</v>
      </c>
      <c r="D25" s="195">
        <v>222316</v>
      </c>
      <c r="E25" s="195">
        <v>584200</v>
      </c>
      <c r="F25" s="195">
        <v>637553</v>
      </c>
      <c r="G25" s="195">
        <v>560736</v>
      </c>
      <c r="H25" s="195">
        <v>523401</v>
      </c>
      <c r="I25" s="196">
        <f>IFERROR(H25/G25-1,"-")</f>
        <v>-6.6582134908406143E-2</v>
      </c>
      <c r="J25" s="212">
        <f t="shared" si="7"/>
        <v>-0.10407223553577538</v>
      </c>
      <c r="K25" s="195">
        <f t="shared" si="8"/>
        <v>-37335</v>
      </c>
      <c r="L25" s="195">
        <f t="shared" si="9"/>
        <v>-60799</v>
      </c>
      <c r="M25" s="196">
        <f>H25/H$8</f>
        <v>1.4507987249848572E-2</v>
      </c>
      <c r="N25" s="103"/>
    </row>
    <row r="26" spans="1:14" x14ac:dyDescent="0.25">
      <c r="A26" s="1"/>
      <c r="B26" s="190" t="s">
        <v>109</v>
      </c>
      <c r="C26" s="191">
        <v>12092366</v>
      </c>
      <c r="D26" s="191">
        <v>3494056</v>
      </c>
      <c r="E26" s="191">
        <v>4837580</v>
      </c>
      <c r="F26" s="191">
        <v>11708263</v>
      </c>
      <c r="G26" s="191">
        <v>12773275</v>
      </c>
      <c r="H26" s="191">
        <v>13097003</v>
      </c>
      <c r="I26" s="192">
        <f>IFERROR(H26/G26-1,"-")</f>
        <v>2.5344165846268973E-2</v>
      </c>
      <c r="J26" s="211">
        <f t="shared" si="7"/>
        <v>1.7073460283860937</v>
      </c>
      <c r="K26" s="191">
        <f t="shared" si="8"/>
        <v>323728</v>
      </c>
      <c r="L26" s="191">
        <f t="shared" si="9"/>
        <v>8259423</v>
      </c>
      <c r="M26" s="192">
        <f>H26/H$8</f>
        <v>0.36303169565061683</v>
      </c>
      <c r="N26" s="103"/>
    </row>
    <row r="27" spans="1:14" s="74" customFormat="1" x14ac:dyDescent="0.25">
      <c r="B27" s="194" t="s">
        <v>112</v>
      </c>
      <c r="C27" s="195">
        <v>5650065</v>
      </c>
      <c r="D27" s="195">
        <v>1483938</v>
      </c>
      <c r="E27" s="195">
        <v>1575483</v>
      </c>
      <c r="F27" s="195">
        <v>5839663</v>
      </c>
      <c r="G27" s="195">
        <v>6456134</v>
      </c>
      <c r="H27" s="195">
        <v>6689570</v>
      </c>
      <c r="I27" s="196">
        <f t="shared" ref="I27:I34" si="10">IFERROR(H27/G27-1,"-")</f>
        <v>3.6157242089460917E-2</v>
      </c>
      <c r="J27" s="212">
        <f t="shared" si="7"/>
        <v>3.2460439116131372</v>
      </c>
      <c r="K27" s="195">
        <f t="shared" si="8"/>
        <v>233436</v>
      </c>
      <c r="L27" s="195">
        <f t="shared" si="9"/>
        <v>5114087</v>
      </c>
      <c r="M27" s="196">
        <f t="shared" ref="M27:M34" si="11">H27/H$8</f>
        <v>0.1854260810869095</v>
      </c>
      <c r="N27" s="197"/>
    </row>
    <row r="28" spans="1:14" s="74" customFormat="1" x14ac:dyDescent="0.25">
      <c r="B28" s="194" t="s">
        <v>115</v>
      </c>
      <c r="C28" s="195">
        <v>1813831</v>
      </c>
      <c r="D28" s="195">
        <v>510569</v>
      </c>
      <c r="E28" s="195">
        <v>851193</v>
      </c>
      <c r="F28" s="195">
        <v>1420539</v>
      </c>
      <c r="G28" s="195">
        <v>1496214</v>
      </c>
      <c r="H28" s="195">
        <v>1483358</v>
      </c>
      <c r="I28" s="196">
        <f t="shared" si="10"/>
        <v>-8.5923537675760553E-3</v>
      </c>
      <c r="J28" s="212">
        <f t="shared" si="7"/>
        <v>0.7426811545677654</v>
      </c>
      <c r="K28" s="195">
        <f t="shared" si="8"/>
        <v>-12856</v>
      </c>
      <c r="L28" s="195">
        <f t="shared" si="9"/>
        <v>632165</v>
      </c>
      <c r="M28" s="196">
        <f t="shared" si="11"/>
        <v>4.111673258354661E-2</v>
      </c>
      <c r="N28" s="197"/>
    </row>
    <row r="29" spans="1:14" x14ac:dyDescent="0.25">
      <c r="A29" s="1"/>
      <c r="B29" s="194" t="s">
        <v>118</v>
      </c>
      <c r="C29" s="195">
        <v>428540</v>
      </c>
      <c r="D29" s="195">
        <v>173273</v>
      </c>
      <c r="E29" s="195">
        <v>321437</v>
      </c>
      <c r="F29" s="195">
        <v>466813</v>
      </c>
      <c r="G29" s="195">
        <v>535409</v>
      </c>
      <c r="H29" s="195">
        <v>462244</v>
      </c>
      <c r="I29" s="196">
        <f t="shared" si="10"/>
        <v>-0.13665254039435271</v>
      </c>
      <c r="J29" s="212">
        <f t="shared" si="7"/>
        <v>0.43805473545360374</v>
      </c>
      <c r="K29" s="195">
        <f t="shared" si="8"/>
        <v>-73165</v>
      </c>
      <c r="L29" s="195">
        <f t="shared" si="9"/>
        <v>140807</v>
      </c>
      <c r="M29" s="196">
        <f t="shared" si="11"/>
        <v>1.281279565441985E-2</v>
      </c>
      <c r="N29" s="103"/>
    </row>
    <row r="30" spans="1:14" x14ac:dyDescent="0.25">
      <c r="A30" s="1"/>
      <c r="B30" s="194" t="s">
        <v>125</v>
      </c>
      <c r="C30" s="195">
        <v>502164</v>
      </c>
      <c r="D30" s="195">
        <v>134940</v>
      </c>
      <c r="E30" s="195">
        <v>321774</v>
      </c>
      <c r="F30" s="195">
        <v>583899</v>
      </c>
      <c r="G30" s="195">
        <v>553235</v>
      </c>
      <c r="H30" s="195">
        <v>562616</v>
      </c>
      <c r="I30" s="196">
        <f t="shared" si="10"/>
        <v>1.695662783446461E-2</v>
      </c>
      <c r="J30" s="212">
        <f t="shared" si="7"/>
        <v>0.7484818537234208</v>
      </c>
      <c r="K30" s="195">
        <f t="shared" si="8"/>
        <v>9381</v>
      </c>
      <c r="L30" s="195">
        <f t="shared" si="9"/>
        <v>240842</v>
      </c>
      <c r="M30" s="196">
        <f t="shared" si="11"/>
        <v>1.5594975467300988E-2</v>
      </c>
      <c r="N30" s="103"/>
    </row>
    <row r="31" spans="1:14" x14ac:dyDescent="0.25">
      <c r="A31" s="1"/>
      <c r="B31" s="194" t="s">
        <v>121</v>
      </c>
      <c r="C31" s="195">
        <v>566275</v>
      </c>
      <c r="D31" s="195">
        <v>241515</v>
      </c>
      <c r="E31" s="195">
        <v>414396</v>
      </c>
      <c r="F31" s="195">
        <v>639629</v>
      </c>
      <c r="G31" s="195">
        <v>619738</v>
      </c>
      <c r="H31" s="195">
        <v>632422</v>
      </c>
      <c r="I31" s="196">
        <f t="shared" si="10"/>
        <v>2.0466713353062049E-2</v>
      </c>
      <c r="J31" s="212">
        <f t="shared" si="7"/>
        <v>0.52612959584551966</v>
      </c>
      <c r="K31" s="195">
        <f t="shared" si="8"/>
        <v>12684</v>
      </c>
      <c r="L31" s="195">
        <f t="shared" si="9"/>
        <v>218026</v>
      </c>
      <c r="M31" s="196">
        <f t="shared" si="11"/>
        <v>1.7529905966025539E-2</v>
      </c>
      <c r="N31" s="103"/>
    </row>
    <row r="32" spans="1:14" x14ac:dyDescent="0.25">
      <c r="A32" s="1"/>
      <c r="B32" s="194" t="s">
        <v>130</v>
      </c>
      <c r="C32" s="195">
        <v>242464</v>
      </c>
      <c r="D32" s="195">
        <v>95128</v>
      </c>
      <c r="E32" s="195">
        <v>58069</v>
      </c>
      <c r="F32" s="195">
        <v>177706</v>
      </c>
      <c r="G32" s="195">
        <v>184473</v>
      </c>
      <c r="H32" s="195">
        <v>184792</v>
      </c>
      <c r="I32" s="196">
        <f t="shared" si="10"/>
        <v>1.7292503509998003E-3</v>
      </c>
      <c r="J32" s="212">
        <f t="shared" si="7"/>
        <v>2.1822831459126211</v>
      </c>
      <c r="K32" s="195">
        <f t="shared" si="8"/>
        <v>319</v>
      </c>
      <c r="L32" s="195">
        <f t="shared" si="9"/>
        <v>126723</v>
      </c>
      <c r="M32" s="196">
        <f t="shared" si="11"/>
        <v>5.122191168671855E-3</v>
      </c>
      <c r="N32" s="103"/>
    </row>
    <row r="33" spans="1:14" x14ac:dyDescent="0.25">
      <c r="A33" s="193" t="s">
        <v>146</v>
      </c>
      <c r="B33" s="194" t="s">
        <v>133</v>
      </c>
      <c r="C33" s="195">
        <v>276453</v>
      </c>
      <c r="D33" s="195">
        <v>106598</v>
      </c>
      <c r="E33" s="195">
        <v>43884</v>
      </c>
      <c r="F33" s="195">
        <v>147837</v>
      </c>
      <c r="G33" s="195">
        <v>187545</v>
      </c>
      <c r="H33" s="195">
        <v>166807</v>
      </c>
      <c r="I33" s="196">
        <f t="shared" si="10"/>
        <v>-0.11057612839585163</v>
      </c>
      <c r="J33" s="212">
        <f t="shared" si="7"/>
        <v>2.8010892352565855</v>
      </c>
      <c r="K33" s="195">
        <f t="shared" si="8"/>
        <v>-20738</v>
      </c>
      <c r="L33" s="195">
        <f t="shared" si="9"/>
        <v>122923</v>
      </c>
      <c r="M33" s="196">
        <f t="shared" si="11"/>
        <v>4.6236706257448707E-3</v>
      </c>
      <c r="N33" s="103"/>
    </row>
    <row r="34" spans="1:14" x14ac:dyDescent="0.25">
      <c r="A34" s="198" t="s">
        <v>147</v>
      </c>
      <c r="B34" s="199" t="s">
        <v>147</v>
      </c>
      <c r="C34" s="200">
        <f t="shared" ref="C34" si="12">C26-SUM(C27:C33)</f>
        <v>2612574</v>
      </c>
      <c r="D34" s="200">
        <f t="shared" ref="D34:H34" si="13">D26-SUM(D27:D33)</f>
        <v>748095</v>
      </c>
      <c r="E34" s="200">
        <f t="shared" si="13"/>
        <v>1251344</v>
      </c>
      <c r="F34" s="200">
        <f t="shared" si="13"/>
        <v>2432177</v>
      </c>
      <c r="G34" s="200">
        <f t="shared" si="13"/>
        <v>2740527</v>
      </c>
      <c r="H34" s="200">
        <f t="shared" si="13"/>
        <v>2915194</v>
      </c>
      <c r="I34" s="201">
        <f t="shared" si="10"/>
        <v>6.3734821806170849E-2</v>
      </c>
      <c r="J34" s="213">
        <f t="shared" si="7"/>
        <v>1.3296503599329998</v>
      </c>
      <c r="K34" s="200">
        <f>H34-G34</f>
        <v>174667</v>
      </c>
      <c r="L34" s="200">
        <f t="shared" si="9"/>
        <v>1663850</v>
      </c>
      <c r="M34" s="201">
        <f t="shared" si="11"/>
        <v>8.0805343097997639E-2</v>
      </c>
      <c r="N34" s="103"/>
    </row>
    <row r="35" spans="1:14" s="177" customFormat="1" x14ac:dyDescent="0.25">
      <c r="B35" s="186" t="s">
        <v>47</v>
      </c>
      <c r="C35" s="184"/>
      <c r="D35" s="184"/>
      <c r="E35" s="184"/>
      <c r="F35" s="184"/>
      <c r="G35" s="184"/>
      <c r="H35" s="184"/>
      <c r="I35" s="184"/>
      <c r="J35" s="184"/>
      <c r="K35" s="184"/>
      <c r="L35" s="184"/>
      <c r="M35" s="184"/>
    </row>
    <row r="36" spans="1:14" x14ac:dyDescent="0.25">
      <c r="A36" s="1">
        <v>3</v>
      </c>
      <c r="B36" s="187" t="s">
        <v>70</v>
      </c>
      <c r="C36" s="209">
        <v>10093577</v>
      </c>
      <c r="D36" s="209">
        <v>2858440</v>
      </c>
      <c r="E36" s="209">
        <v>3367162</v>
      </c>
      <c r="F36" s="209">
        <v>8865243</v>
      </c>
      <c r="G36" s="209">
        <v>9739308</v>
      </c>
      <c r="H36" s="209">
        <v>10014981</v>
      </c>
      <c r="I36" s="210">
        <f>IFERROR(H36/G36-1,"-")</f>
        <v>2.8305193757092395E-2</v>
      </c>
      <c r="J36" s="210">
        <f>IFERROR(H36/E36-1,"-")</f>
        <v>1.9743092253951549</v>
      </c>
      <c r="K36" s="209">
        <f>H36-G36</f>
        <v>275673</v>
      </c>
      <c r="L36" s="209">
        <f>H36-E36</f>
        <v>6647819</v>
      </c>
      <c r="M36" s="210">
        <f>H36/H$8</f>
        <v>0.2776020998344973</v>
      </c>
      <c r="N36" s="103"/>
    </row>
    <row r="37" spans="1:14" x14ac:dyDescent="0.25">
      <c r="A37" s="1" t="s">
        <v>98</v>
      </c>
      <c r="B37" s="190" t="s">
        <v>99</v>
      </c>
      <c r="C37" s="191">
        <v>614530</v>
      </c>
      <c r="D37" s="191">
        <v>241430</v>
      </c>
      <c r="E37" s="191">
        <v>350874</v>
      </c>
      <c r="F37" s="191">
        <v>513218</v>
      </c>
      <c r="G37" s="191">
        <v>576863</v>
      </c>
      <c r="H37" s="191">
        <v>551747</v>
      </c>
      <c r="I37" s="192">
        <f>IFERROR(H37/G37-1,"-")</f>
        <v>-4.3538933854312067E-2</v>
      </c>
      <c r="J37" s="211">
        <f t="shared" ref="J37:J48" si="14">IFERROR(H37/E37-1,"-")</f>
        <v>0.57249325968866316</v>
      </c>
      <c r="K37" s="191">
        <f t="shared" ref="K37:K47" si="15">H37-G37</f>
        <v>-25116</v>
      </c>
      <c r="L37" s="191">
        <f t="shared" ref="L37:L48" si="16">H37-E37</f>
        <v>200873</v>
      </c>
      <c r="M37" s="192">
        <f>H37/H$8</f>
        <v>1.529370108414428E-2</v>
      </c>
      <c r="N37" s="103"/>
    </row>
    <row r="38" spans="1:14" x14ac:dyDescent="0.25">
      <c r="A38" s="193" t="s">
        <v>105</v>
      </c>
      <c r="B38" s="194" t="s">
        <v>105</v>
      </c>
      <c r="C38" s="195">
        <v>210543</v>
      </c>
      <c r="D38" s="195">
        <v>92534</v>
      </c>
      <c r="E38" s="195">
        <v>131066</v>
      </c>
      <c r="F38" s="195">
        <v>155108</v>
      </c>
      <c r="G38" s="195">
        <v>218201</v>
      </c>
      <c r="H38" s="195">
        <v>239030</v>
      </c>
      <c r="I38" s="196">
        <f>IFERROR(H38/G38-1,"-")</f>
        <v>9.5457857663347134E-2</v>
      </c>
      <c r="J38" s="212">
        <f t="shared" si="14"/>
        <v>0.82373765888941453</v>
      </c>
      <c r="K38" s="195">
        <f t="shared" si="15"/>
        <v>20829</v>
      </c>
      <c r="L38" s="195">
        <f t="shared" si="16"/>
        <v>107964</v>
      </c>
      <c r="M38" s="196">
        <f>H38/H$8</f>
        <v>6.6255971852008395E-3</v>
      </c>
      <c r="N38" s="103"/>
    </row>
    <row r="39" spans="1:14" x14ac:dyDescent="0.25">
      <c r="A39" s="193" t="s">
        <v>102</v>
      </c>
      <c r="B39" s="194" t="s">
        <v>102</v>
      </c>
      <c r="C39" s="195">
        <v>403987</v>
      </c>
      <c r="D39" s="195">
        <v>148896</v>
      </c>
      <c r="E39" s="195">
        <v>219808</v>
      </c>
      <c r="F39" s="195">
        <v>358110</v>
      </c>
      <c r="G39" s="195">
        <v>358662</v>
      </c>
      <c r="H39" s="195">
        <v>312717</v>
      </c>
      <c r="I39" s="196">
        <f>IFERROR(H39/G39-1,"-")</f>
        <v>-0.1281011091222376</v>
      </c>
      <c r="J39" s="212">
        <f t="shared" si="14"/>
        <v>0.4226825229291018</v>
      </c>
      <c r="K39" s="195">
        <f t="shared" si="15"/>
        <v>-45945</v>
      </c>
      <c r="L39" s="195">
        <f t="shared" si="16"/>
        <v>92909</v>
      </c>
      <c r="M39" s="196">
        <f>H39/H$8</f>
        <v>8.6681038989434422E-3</v>
      </c>
      <c r="N39" s="103"/>
    </row>
    <row r="40" spans="1:14" x14ac:dyDescent="0.25">
      <c r="A40" s="1"/>
      <c r="B40" s="190" t="s">
        <v>109</v>
      </c>
      <c r="C40" s="191">
        <v>9479047</v>
      </c>
      <c r="D40" s="191">
        <v>2617010</v>
      </c>
      <c r="E40" s="191">
        <v>3016288</v>
      </c>
      <c r="F40" s="191">
        <v>8352025</v>
      </c>
      <c r="G40" s="191">
        <v>9162445</v>
      </c>
      <c r="H40" s="191">
        <v>9463234</v>
      </c>
      <c r="I40" s="192">
        <f>IFERROR(H40/G40-1,"-")</f>
        <v>3.2828464454629724E-2</v>
      </c>
      <c r="J40" s="211">
        <f t="shared" si="14"/>
        <v>2.1373774652818298</v>
      </c>
      <c r="K40" s="191">
        <f t="shared" si="15"/>
        <v>300789</v>
      </c>
      <c r="L40" s="191">
        <f t="shared" si="16"/>
        <v>6446946</v>
      </c>
      <c r="M40" s="192">
        <f>H40/H$8</f>
        <v>0.262308398750353</v>
      </c>
      <c r="N40" s="103"/>
    </row>
    <row r="41" spans="1:14" s="74" customFormat="1" x14ac:dyDescent="0.25">
      <c r="B41" s="194" t="s">
        <v>112</v>
      </c>
      <c r="C41" s="195">
        <v>5094935</v>
      </c>
      <c r="D41" s="195">
        <v>1173619</v>
      </c>
      <c r="E41" s="195">
        <v>1066343</v>
      </c>
      <c r="F41" s="195">
        <v>4256430</v>
      </c>
      <c r="G41" s="195">
        <v>4628153</v>
      </c>
      <c r="H41" s="195">
        <v>4858902</v>
      </c>
      <c r="I41" s="196">
        <f t="shared" ref="I41:I48" si="17">IFERROR(H41/G41-1,"-")</f>
        <v>4.9857686208731655E-2</v>
      </c>
      <c r="J41" s="212">
        <f t="shared" si="14"/>
        <v>3.5566032693045297</v>
      </c>
      <c r="K41" s="195">
        <f t="shared" si="15"/>
        <v>230749</v>
      </c>
      <c r="L41" s="195">
        <f t="shared" si="16"/>
        <v>3792559</v>
      </c>
      <c r="M41" s="196">
        <f t="shared" ref="M41:M48" si="18">H41/H$8</f>
        <v>0.13468237214728998</v>
      </c>
      <c r="N41" s="197"/>
    </row>
    <row r="42" spans="1:14" s="74" customFormat="1" x14ac:dyDescent="0.25">
      <c r="B42" s="194" t="s">
        <v>115</v>
      </c>
      <c r="C42" s="195">
        <v>470924</v>
      </c>
      <c r="D42" s="195">
        <v>139836</v>
      </c>
      <c r="E42" s="195">
        <v>174981</v>
      </c>
      <c r="F42" s="195">
        <v>311196</v>
      </c>
      <c r="G42" s="195">
        <v>358380</v>
      </c>
      <c r="H42" s="195">
        <v>358116</v>
      </c>
      <c r="I42" s="196">
        <f t="shared" si="17"/>
        <v>-7.3664825046038107E-4</v>
      </c>
      <c r="J42" s="212">
        <f t="shared" si="14"/>
        <v>1.0465993450717508</v>
      </c>
      <c r="K42" s="195">
        <f t="shared" si="15"/>
        <v>-264</v>
      </c>
      <c r="L42" s="195">
        <f t="shared" si="16"/>
        <v>183135</v>
      </c>
      <c r="M42" s="196">
        <f t="shared" si="18"/>
        <v>9.9265044620984125E-3</v>
      </c>
      <c r="N42" s="197"/>
    </row>
    <row r="43" spans="1:14" x14ac:dyDescent="0.25">
      <c r="A43" s="1"/>
      <c r="B43" s="194" t="s">
        <v>118</v>
      </c>
      <c r="C43" s="195">
        <v>178407</v>
      </c>
      <c r="D43" s="195">
        <v>67848</v>
      </c>
      <c r="E43" s="195">
        <v>127385</v>
      </c>
      <c r="F43" s="195">
        <v>198903</v>
      </c>
      <c r="G43" s="195">
        <v>247793</v>
      </c>
      <c r="H43" s="195">
        <v>245648</v>
      </c>
      <c r="I43" s="196">
        <f t="shared" si="17"/>
        <v>-8.6564188657468621E-3</v>
      </c>
      <c r="J43" s="212">
        <f t="shared" si="14"/>
        <v>0.92839031283118101</v>
      </c>
      <c r="K43" s="195">
        <f t="shared" si="15"/>
        <v>-2145</v>
      </c>
      <c r="L43" s="195">
        <f t="shared" si="16"/>
        <v>118263</v>
      </c>
      <c r="M43" s="196">
        <f t="shared" si="18"/>
        <v>6.8090394400293509E-3</v>
      </c>
      <c r="N43" s="103"/>
    </row>
    <row r="44" spans="1:14" x14ac:dyDescent="0.25">
      <c r="A44" s="1"/>
      <c r="B44" s="194" t="s">
        <v>125</v>
      </c>
      <c r="C44" s="195">
        <v>451476</v>
      </c>
      <c r="D44" s="195">
        <v>124287</v>
      </c>
      <c r="E44" s="195">
        <v>239923</v>
      </c>
      <c r="F44" s="195">
        <v>477050</v>
      </c>
      <c r="G44" s="195">
        <v>501096</v>
      </c>
      <c r="H44" s="195">
        <v>499671</v>
      </c>
      <c r="I44" s="196">
        <f t="shared" si="17"/>
        <v>-2.8437664639111571E-3</v>
      </c>
      <c r="J44" s="212">
        <f t="shared" si="14"/>
        <v>1.0826306773423138</v>
      </c>
      <c r="K44" s="195">
        <f t="shared" si="15"/>
        <v>-1425</v>
      </c>
      <c r="L44" s="195">
        <f t="shared" si="16"/>
        <v>259748</v>
      </c>
      <c r="M44" s="196">
        <f t="shared" si="18"/>
        <v>1.3850222863768098E-2</v>
      </c>
      <c r="N44" s="103"/>
    </row>
    <row r="45" spans="1:14" x14ac:dyDescent="0.25">
      <c r="A45" s="1"/>
      <c r="B45" s="194" t="s">
        <v>121</v>
      </c>
      <c r="C45" s="195">
        <v>353625</v>
      </c>
      <c r="D45" s="195">
        <v>131712</v>
      </c>
      <c r="E45" s="195">
        <v>184201</v>
      </c>
      <c r="F45" s="195">
        <v>318686</v>
      </c>
      <c r="G45" s="195">
        <v>374932</v>
      </c>
      <c r="H45" s="195">
        <v>372782</v>
      </c>
      <c r="I45" s="196">
        <f t="shared" si="17"/>
        <v>-5.7343731663341835E-3</v>
      </c>
      <c r="J45" s="212">
        <f t="shared" si="14"/>
        <v>1.0237783725386942</v>
      </c>
      <c r="K45" s="195">
        <f t="shared" si="15"/>
        <v>-2150</v>
      </c>
      <c r="L45" s="195">
        <f t="shared" si="16"/>
        <v>188581</v>
      </c>
      <c r="M45" s="196">
        <f t="shared" si="18"/>
        <v>1.0333026690764921E-2</v>
      </c>
      <c r="N45" s="103"/>
    </row>
    <row r="46" spans="1:14" x14ac:dyDescent="0.25">
      <c r="A46" s="1"/>
      <c r="B46" s="194" t="s">
        <v>130</v>
      </c>
      <c r="C46" s="195">
        <v>227686</v>
      </c>
      <c r="D46" s="195">
        <v>86739</v>
      </c>
      <c r="E46" s="195">
        <v>81833</v>
      </c>
      <c r="F46" s="195">
        <v>185692</v>
      </c>
      <c r="G46" s="195">
        <v>188339</v>
      </c>
      <c r="H46" s="195">
        <v>187108</v>
      </c>
      <c r="I46" s="196">
        <f t="shared" si="17"/>
        <v>-6.5360865248301758E-3</v>
      </c>
      <c r="J46" s="212">
        <f t="shared" si="14"/>
        <v>1.2864614519814745</v>
      </c>
      <c r="K46" s="195">
        <f t="shared" si="15"/>
        <v>-1231</v>
      </c>
      <c r="L46" s="195">
        <f t="shared" si="16"/>
        <v>105275</v>
      </c>
      <c r="M46" s="196">
        <f t="shared" si="18"/>
        <v>5.1863876422564474E-3</v>
      </c>
      <c r="N46" s="103"/>
    </row>
    <row r="47" spans="1:14" x14ac:dyDescent="0.25">
      <c r="A47" s="193" t="s">
        <v>146</v>
      </c>
      <c r="B47" s="194" t="s">
        <v>133</v>
      </c>
      <c r="C47" s="195">
        <v>366669</v>
      </c>
      <c r="D47" s="195">
        <v>150036</v>
      </c>
      <c r="E47" s="195">
        <v>88248</v>
      </c>
      <c r="F47" s="195">
        <v>188228</v>
      </c>
      <c r="G47" s="195">
        <v>224522</v>
      </c>
      <c r="H47" s="195">
        <v>217369</v>
      </c>
      <c r="I47" s="196">
        <f t="shared" si="17"/>
        <v>-3.1858793347645187E-2</v>
      </c>
      <c r="J47" s="212">
        <f t="shared" si="14"/>
        <v>1.4631606382014324</v>
      </c>
      <c r="K47" s="195">
        <f t="shared" si="15"/>
        <v>-7153</v>
      </c>
      <c r="L47" s="195">
        <f t="shared" si="16"/>
        <v>129121</v>
      </c>
      <c r="M47" s="196">
        <f t="shared" si="18"/>
        <v>6.0251827576033182E-3</v>
      </c>
      <c r="N47" s="103"/>
    </row>
    <row r="48" spans="1:14" x14ac:dyDescent="0.25">
      <c r="A48" s="198" t="s">
        <v>147</v>
      </c>
      <c r="B48" s="199" t="s">
        <v>147</v>
      </c>
      <c r="C48" s="200">
        <f t="shared" ref="C48:H48" si="19">C40-SUM(C41:C47)</f>
        <v>2335325</v>
      </c>
      <c r="D48" s="200">
        <f t="shared" si="19"/>
        <v>742933</v>
      </c>
      <c r="E48" s="200">
        <f t="shared" si="19"/>
        <v>1053374</v>
      </c>
      <c r="F48" s="200">
        <f t="shared" si="19"/>
        <v>2415840</v>
      </c>
      <c r="G48" s="200">
        <f t="shared" si="19"/>
        <v>2639230</v>
      </c>
      <c r="H48" s="200">
        <f t="shared" si="19"/>
        <v>2723638</v>
      </c>
      <c r="I48" s="201">
        <f t="shared" si="17"/>
        <v>3.1982055372210771E-2</v>
      </c>
      <c r="J48" s="213">
        <f t="shared" si="14"/>
        <v>1.5856324534305952</v>
      </c>
      <c r="K48" s="200">
        <f>H48-G48</f>
        <v>84408</v>
      </c>
      <c r="L48" s="200">
        <f t="shared" si="16"/>
        <v>1670264</v>
      </c>
      <c r="M48" s="201">
        <f t="shared" si="18"/>
        <v>7.5495662746542458E-2</v>
      </c>
      <c r="N48" s="103"/>
    </row>
    <row r="49" spans="1:14" s="177" customFormat="1" x14ac:dyDescent="0.25">
      <c r="B49" s="186" t="s">
        <v>48</v>
      </c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</row>
    <row r="50" spans="1:14" x14ac:dyDescent="0.25">
      <c r="A50" s="1">
        <v>3</v>
      </c>
      <c r="B50" s="187" t="s">
        <v>70</v>
      </c>
      <c r="C50" s="209">
        <v>234787</v>
      </c>
      <c r="D50" s="209">
        <v>65275</v>
      </c>
      <c r="E50" s="209">
        <v>98762</v>
      </c>
      <c r="F50" s="209">
        <v>168339</v>
      </c>
      <c r="G50" s="209">
        <v>182035</v>
      </c>
      <c r="H50" s="209">
        <v>194642</v>
      </c>
      <c r="I50" s="210">
        <f>IFERROR(H50/G50-1,"-")</f>
        <v>6.925591232455286E-2</v>
      </c>
      <c r="J50" s="210">
        <f>IFERROR(H50/E50-1,"-")</f>
        <v>0.97081873595107426</v>
      </c>
      <c r="K50" s="209">
        <f>H50-G50</f>
        <v>12607</v>
      </c>
      <c r="L50" s="209">
        <f>H50-E50</f>
        <v>95880</v>
      </c>
      <c r="M50" s="210">
        <f>H50/H$8</f>
        <v>5.3952202121987274E-3</v>
      </c>
      <c r="N50" s="103"/>
    </row>
    <row r="51" spans="1:14" x14ac:dyDescent="0.25">
      <c r="A51" s="1" t="s">
        <v>98</v>
      </c>
      <c r="B51" s="190" t="s">
        <v>99</v>
      </c>
      <c r="C51" s="191">
        <v>30969</v>
      </c>
      <c r="D51" s="191">
        <v>6950</v>
      </c>
      <c r="E51" s="191">
        <v>17286</v>
      </c>
      <c r="F51" s="191">
        <v>21218</v>
      </c>
      <c r="G51" s="191">
        <v>40235</v>
      </c>
      <c r="H51" s="191">
        <v>25819</v>
      </c>
      <c r="I51" s="192">
        <f>IFERROR(H51/G51-1,"-")</f>
        <v>-0.35829501677643838</v>
      </c>
      <c r="J51" s="211">
        <f t="shared" ref="J51:J62" si="20">IFERROR(H51/E51-1,"-")</f>
        <v>0.49363646881869716</v>
      </c>
      <c r="K51" s="191">
        <f t="shared" ref="K51:K61" si="21">H51-G51</f>
        <v>-14416</v>
      </c>
      <c r="L51" s="191">
        <f t="shared" ref="L51:L62" si="22">H51-E51</f>
        <v>8533</v>
      </c>
      <c r="M51" s="192">
        <f>H51/H$8</f>
        <v>7.1566871825586942E-4</v>
      </c>
      <c r="N51" s="103"/>
    </row>
    <row r="52" spans="1:14" x14ac:dyDescent="0.25">
      <c r="A52" s="193" t="s">
        <v>105</v>
      </c>
      <c r="B52" s="194" t="s">
        <v>105</v>
      </c>
      <c r="C52" s="195">
        <v>12961</v>
      </c>
      <c r="D52" s="195">
        <v>5003</v>
      </c>
      <c r="E52" s="195">
        <v>6990</v>
      </c>
      <c r="F52" s="195">
        <v>6990</v>
      </c>
      <c r="G52" s="195">
        <v>25164</v>
      </c>
      <c r="H52" s="195">
        <v>14324</v>
      </c>
      <c r="I52" s="196">
        <f>IFERROR(H52/G52-1,"-")</f>
        <v>-0.43077412176124619</v>
      </c>
      <c r="J52" s="212">
        <f t="shared" si="20"/>
        <v>1.0492131616595137</v>
      </c>
      <c r="K52" s="195">
        <f t="shared" si="21"/>
        <v>-10840</v>
      </c>
      <c r="L52" s="195">
        <f t="shared" si="22"/>
        <v>7334</v>
      </c>
      <c r="M52" s="196">
        <f>H52/H$8</f>
        <v>3.9704243852577842E-4</v>
      </c>
      <c r="N52" s="103"/>
    </row>
    <row r="53" spans="1:14" x14ac:dyDescent="0.25">
      <c r="A53" s="193" t="s">
        <v>102</v>
      </c>
      <c r="B53" s="194" t="s">
        <v>102</v>
      </c>
      <c r="C53" s="195">
        <v>18008</v>
      </c>
      <c r="D53" s="195">
        <v>1947</v>
      </c>
      <c r="E53" s="195">
        <v>10296</v>
      </c>
      <c r="F53" s="195">
        <v>14228</v>
      </c>
      <c r="G53" s="195">
        <v>15071</v>
      </c>
      <c r="H53" s="195">
        <v>11495</v>
      </c>
      <c r="I53" s="196">
        <f>IFERROR(H53/G53-1,"-")</f>
        <v>-0.23727688939021963</v>
      </c>
      <c r="J53" s="212">
        <f t="shared" si="20"/>
        <v>0.11645299145299148</v>
      </c>
      <c r="K53" s="195">
        <f t="shared" si="21"/>
        <v>-3576</v>
      </c>
      <c r="L53" s="195">
        <f t="shared" si="22"/>
        <v>1199</v>
      </c>
      <c r="M53" s="196">
        <f>H53/H$8</f>
        <v>3.1862627973009095E-4</v>
      </c>
      <c r="N53" s="103"/>
    </row>
    <row r="54" spans="1:14" x14ac:dyDescent="0.25">
      <c r="A54" s="1"/>
      <c r="B54" s="190" t="s">
        <v>109</v>
      </c>
      <c r="C54" s="191">
        <v>203818</v>
      </c>
      <c r="D54" s="191">
        <v>58325</v>
      </c>
      <c r="E54" s="191">
        <v>81476</v>
      </c>
      <c r="F54" s="191">
        <v>147121</v>
      </c>
      <c r="G54" s="191">
        <v>141800</v>
      </c>
      <c r="H54" s="191">
        <v>168823</v>
      </c>
      <c r="I54" s="192">
        <f>IFERROR(H54/G54-1,"-")</f>
        <v>0.19057122708039498</v>
      </c>
      <c r="J54" s="211">
        <f t="shared" si="20"/>
        <v>1.0720580293583386</v>
      </c>
      <c r="K54" s="191">
        <f t="shared" si="21"/>
        <v>27023</v>
      </c>
      <c r="L54" s="191">
        <f t="shared" si="22"/>
        <v>87347</v>
      </c>
      <c r="M54" s="192">
        <f>H54/H$8</f>
        <v>4.6795514939428576E-3</v>
      </c>
      <c r="N54" s="103"/>
    </row>
    <row r="55" spans="1:14" s="74" customFormat="1" x14ac:dyDescent="0.25">
      <c r="B55" s="194" t="s">
        <v>112</v>
      </c>
      <c r="C55" s="195">
        <v>67733</v>
      </c>
      <c r="D55" s="195">
        <v>19771</v>
      </c>
      <c r="E55" s="195">
        <v>20693</v>
      </c>
      <c r="F55" s="195">
        <v>65122</v>
      </c>
      <c r="G55" s="195">
        <v>55484</v>
      </c>
      <c r="H55" s="195">
        <v>69733</v>
      </c>
      <c r="I55" s="196">
        <f t="shared" ref="I55:I62" si="23">IFERROR(H55/G55-1,"-")</f>
        <v>0.25681277485401188</v>
      </c>
      <c r="J55" s="212">
        <f t="shared" si="20"/>
        <v>2.3698835354950951</v>
      </c>
      <c r="K55" s="195">
        <f t="shared" si="21"/>
        <v>14249</v>
      </c>
      <c r="L55" s="195">
        <f t="shared" si="22"/>
        <v>49040</v>
      </c>
      <c r="M55" s="196">
        <f t="shared" ref="M55:M62" si="24">H55/H$8</f>
        <v>1.9329070347471452E-3</v>
      </c>
      <c r="N55" s="197"/>
    </row>
    <row r="56" spans="1:14" s="74" customFormat="1" x14ac:dyDescent="0.25">
      <c r="B56" s="194" t="s">
        <v>115</v>
      </c>
      <c r="C56" s="195">
        <v>69940</v>
      </c>
      <c r="D56" s="195">
        <v>18669</v>
      </c>
      <c r="E56" s="195">
        <v>31230</v>
      </c>
      <c r="F56" s="195">
        <v>34084</v>
      </c>
      <c r="G56" s="195">
        <v>34465</v>
      </c>
      <c r="H56" s="195">
        <v>39071</v>
      </c>
      <c r="I56" s="196">
        <f t="shared" si="23"/>
        <v>0.13364282605541855</v>
      </c>
      <c r="J56" s="212">
        <f t="shared" si="20"/>
        <v>0.25107268651937242</v>
      </c>
      <c r="K56" s="195">
        <f t="shared" si="21"/>
        <v>4606</v>
      </c>
      <c r="L56" s="195">
        <f t="shared" si="22"/>
        <v>7841</v>
      </c>
      <c r="M56" s="196">
        <f t="shared" si="24"/>
        <v>1.0829967268668451E-3</v>
      </c>
      <c r="N56" s="197"/>
    </row>
    <row r="57" spans="1:14" x14ac:dyDescent="0.25">
      <c r="A57" s="1"/>
      <c r="B57" s="194" t="s">
        <v>118</v>
      </c>
      <c r="C57" s="195">
        <v>6792</v>
      </c>
      <c r="D57" s="195">
        <v>1519</v>
      </c>
      <c r="E57" s="195">
        <v>3873</v>
      </c>
      <c r="F57" s="195">
        <v>6397</v>
      </c>
      <c r="G57" s="195">
        <v>6784</v>
      </c>
      <c r="H57" s="195">
        <v>6674</v>
      </c>
      <c r="I57" s="196">
        <f t="shared" si="23"/>
        <v>-1.6214622641509413E-2</v>
      </c>
      <c r="J57" s="212">
        <f t="shared" si="20"/>
        <v>0.72321198037696877</v>
      </c>
      <c r="K57" s="195">
        <f t="shared" si="21"/>
        <v>-110</v>
      </c>
      <c r="L57" s="195">
        <f t="shared" si="22"/>
        <v>2801</v>
      </c>
      <c r="M57" s="196">
        <f t="shared" si="24"/>
        <v>1.849945011673447E-4</v>
      </c>
      <c r="N57" s="103"/>
    </row>
    <row r="58" spans="1:14" x14ac:dyDescent="0.25">
      <c r="A58" s="1"/>
      <c r="B58" s="194" t="s">
        <v>125</v>
      </c>
      <c r="C58" s="195">
        <v>3713</v>
      </c>
      <c r="D58" s="195">
        <v>1082</v>
      </c>
      <c r="E58" s="195">
        <v>2191</v>
      </c>
      <c r="F58" s="195">
        <v>3053</v>
      </c>
      <c r="G58" s="195">
        <v>2811</v>
      </c>
      <c r="H58" s="195">
        <v>4837</v>
      </c>
      <c r="I58" s="196">
        <f t="shared" si="23"/>
        <v>0.72073995019565995</v>
      </c>
      <c r="J58" s="212">
        <f t="shared" si="20"/>
        <v>1.2076677316293929</v>
      </c>
      <c r="K58" s="195">
        <f t="shared" si="21"/>
        <v>2026</v>
      </c>
      <c r="L58" s="195">
        <f t="shared" si="22"/>
        <v>2646</v>
      </c>
      <c r="M58" s="196">
        <f t="shared" si="24"/>
        <v>1.3407527751669858E-4</v>
      </c>
      <c r="N58" s="103"/>
    </row>
    <row r="59" spans="1:14" x14ac:dyDescent="0.25">
      <c r="A59" s="1"/>
      <c r="B59" s="194" t="s">
        <v>121</v>
      </c>
      <c r="C59" s="195">
        <v>4285</v>
      </c>
      <c r="D59" s="195">
        <v>1095</v>
      </c>
      <c r="E59" s="195">
        <v>1459</v>
      </c>
      <c r="F59" s="195">
        <v>2254</v>
      </c>
      <c r="G59" s="195">
        <v>2628</v>
      </c>
      <c r="H59" s="195">
        <v>3308</v>
      </c>
      <c r="I59" s="196">
        <f t="shared" si="23"/>
        <v>0.25875190258751912</v>
      </c>
      <c r="J59" s="212">
        <f t="shared" si="20"/>
        <v>1.2673063742289239</v>
      </c>
      <c r="K59" s="195">
        <f t="shared" si="21"/>
        <v>680</v>
      </c>
      <c r="L59" s="195">
        <f t="shared" si="22"/>
        <v>1849</v>
      </c>
      <c r="M59" s="196">
        <f t="shared" si="24"/>
        <v>9.1693408729633829E-5</v>
      </c>
      <c r="N59" s="103"/>
    </row>
    <row r="60" spans="1:14" x14ac:dyDescent="0.25">
      <c r="A60" s="1"/>
      <c r="B60" s="194" t="s">
        <v>130</v>
      </c>
      <c r="C60" s="195">
        <v>1783</v>
      </c>
      <c r="D60" s="195">
        <v>713</v>
      </c>
      <c r="E60" s="195">
        <v>445</v>
      </c>
      <c r="F60" s="195">
        <v>554</v>
      </c>
      <c r="G60" s="195">
        <v>804</v>
      </c>
      <c r="H60" s="195">
        <v>636</v>
      </c>
      <c r="I60" s="196">
        <f t="shared" si="23"/>
        <v>-0.20895522388059706</v>
      </c>
      <c r="J60" s="212">
        <f t="shared" si="20"/>
        <v>0.42921348314606744</v>
      </c>
      <c r="K60" s="195">
        <f t="shared" si="21"/>
        <v>-168</v>
      </c>
      <c r="L60" s="195">
        <f t="shared" si="22"/>
        <v>191</v>
      </c>
      <c r="M60" s="196">
        <f t="shared" si="24"/>
        <v>1.7629083419603121E-5</v>
      </c>
      <c r="N60" s="103"/>
    </row>
    <row r="61" spans="1:14" x14ac:dyDescent="0.25">
      <c r="A61" s="193" t="s">
        <v>146</v>
      </c>
      <c r="B61" s="194" t="s">
        <v>133</v>
      </c>
      <c r="C61" s="195">
        <v>3475</v>
      </c>
      <c r="D61" s="195">
        <v>1531</v>
      </c>
      <c r="E61" s="195">
        <v>432</v>
      </c>
      <c r="F61" s="195">
        <v>418</v>
      </c>
      <c r="G61" s="195">
        <v>635</v>
      </c>
      <c r="H61" s="195">
        <v>633</v>
      </c>
      <c r="I61" s="196">
        <f t="shared" si="23"/>
        <v>-3.1496062992125706E-3</v>
      </c>
      <c r="J61" s="212">
        <f t="shared" si="20"/>
        <v>0.46527777777777768</v>
      </c>
      <c r="K61" s="195">
        <f t="shared" si="21"/>
        <v>-2</v>
      </c>
      <c r="L61" s="195">
        <f t="shared" si="22"/>
        <v>201</v>
      </c>
      <c r="M61" s="196">
        <f t="shared" si="24"/>
        <v>1.7545927365737068E-5</v>
      </c>
      <c r="N61" s="103"/>
    </row>
    <row r="62" spans="1:14" x14ac:dyDescent="0.25">
      <c r="A62" s="198" t="s">
        <v>147</v>
      </c>
      <c r="B62" s="199" t="s">
        <v>147</v>
      </c>
      <c r="C62" s="200">
        <f t="shared" ref="C62:H62" si="25">C54-SUM(C55:C61)</f>
        <v>46097</v>
      </c>
      <c r="D62" s="200">
        <f t="shared" si="25"/>
        <v>13945</v>
      </c>
      <c r="E62" s="200">
        <f t="shared" si="25"/>
        <v>21153</v>
      </c>
      <c r="F62" s="200">
        <f t="shared" si="25"/>
        <v>35239</v>
      </c>
      <c r="G62" s="200">
        <f t="shared" si="25"/>
        <v>38189</v>
      </c>
      <c r="H62" s="200">
        <f t="shared" si="25"/>
        <v>43931</v>
      </c>
      <c r="I62" s="201">
        <f t="shared" si="23"/>
        <v>0.15035743276859836</v>
      </c>
      <c r="J62" s="213">
        <f t="shared" si="20"/>
        <v>1.0768212546683684</v>
      </c>
      <c r="K62" s="200">
        <f>H62-G62</f>
        <v>5742</v>
      </c>
      <c r="L62" s="200">
        <f t="shared" si="22"/>
        <v>22778</v>
      </c>
      <c r="M62" s="201">
        <f t="shared" si="24"/>
        <v>1.2177095341298501E-3</v>
      </c>
      <c r="N62" s="103"/>
    </row>
    <row r="63" spans="1:14" s="177" customFormat="1" x14ac:dyDescent="0.25">
      <c r="B63" s="186" t="s">
        <v>49</v>
      </c>
      <c r="C63" s="184"/>
      <c r="D63" s="184"/>
      <c r="E63" s="184"/>
      <c r="F63" s="184"/>
      <c r="G63" s="184"/>
      <c r="H63" s="184"/>
      <c r="I63" s="184"/>
      <c r="J63" s="184"/>
      <c r="K63" s="184"/>
      <c r="L63" s="184"/>
      <c r="M63" s="184"/>
    </row>
    <row r="64" spans="1:14" x14ac:dyDescent="0.25">
      <c r="A64" s="1">
        <v>3</v>
      </c>
      <c r="B64" s="187" t="s">
        <v>70</v>
      </c>
      <c r="C64" s="209">
        <v>834528</v>
      </c>
      <c r="D64" s="209">
        <v>295880</v>
      </c>
      <c r="E64" s="209">
        <v>419370</v>
      </c>
      <c r="F64" s="209">
        <v>1014697</v>
      </c>
      <c r="G64" s="209">
        <v>1034949</v>
      </c>
      <c r="H64" s="209">
        <v>1361415</v>
      </c>
      <c r="I64" s="210">
        <f>IFERROR(H64/G64-1,"-")</f>
        <v>0.31544163045715301</v>
      </c>
      <c r="J64" s="210">
        <f>IFERROR(H64/E64-1,"-")</f>
        <v>2.2463337863938766</v>
      </c>
      <c r="K64" s="209">
        <f>H64-G64</f>
        <v>326466</v>
      </c>
      <c r="L64" s="209">
        <f>H64-E64</f>
        <v>942045</v>
      </c>
      <c r="M64" s="210">
        <f>H64/H$8</f>
        <v>3.7736633024683934E-2</v>
      </c>
      <c r="N64" s="103"/>
    </row>
    <row r="65" spans="1:14" x14ac:dyDescent="0.25">
      <c r="A65" s="1" t="s">
        <v>98</v>
      </c>
      <c r="B65" s="190" t="s">
        <v>99</v>
      </c>
      <c r="C65" s="191">
        <v>158439</v>
      </c>
      <c r="D65" s="191">
        <v>84704</v>
      </c>
      <c r="E65" s="191">
        <v>83752</v>
      </c>
      <c r="F65" s="191">
        <v>119256</v>
      </c>
      <c r="G65" s="191">
        <v>173467</v>
      </c>
      <c r="H65" s="191">
        <v>256345</v>
      </c>
      <c r="I65" s="192">
        <f>IFERROR(H65/G65-1,"-")</f>
        <v>0.47777387053445319</v>
      </c>
      <c r="J65" s="211">
        <f t="shared" ref="J65:J76" si="26">IFERROR(H65/E65-1,"-")</f>
        <v>2.0607627280542555</v>
      </c>
      <c r="K65" s="191">
        <f t="shared" ref="K65:K75" si="27">H65-G65</f>
        <v>82878</v>
      </c>
      <c r="L65" s="191">
        <f t="shared" ref="L65:L76" si="28">H65-E65</f>
        <v>172593</v>
      </c>
      <c r="M65" s="192">
        <f>H65/H$8</f>
        <v>7.1055462094310714E-3</v>
      </c>
      <c r="N65" s="103"/>
    </row>
    <row r="66" spans="1:14" x14ac:dyDescent="0.25">
      <c r="A66" s="193" t="s">
        <v>105</v>
      </c>
      <c r="B66" s="194" t="s">
        <v>105</v>
      </c>
      <c r="C66" s="195">
        <v>67992</v>
      </c>
      <c r="D66" s="195">
        <v>23458</v>
      </c>
      <c r="E66" s="195">
        <v>59324</v>
      </c>
      <c r="F66" s="195">
        <v>72718</v>
      </c>
      <c r="G66" s="195">
        <v>91538</v>
      </c>
      <c r="H66" s="195">
        <v>124261</v>
      </c>
      <c r="I66" s="196">
        <f>IFERROR(H66/G66-1,"-")</f>
        <v>0.35747995368043872</v>
      </c>
      <c r="J66" s="212">
        <f t="shared" si="26"/>
        <v>1.094616007012339</v>
      </c>
      <c r="K66" s="195">
        <f t="shared" si="27"/>
        <v>32723</v>
      </c>
      <c r="L66" s="195">
        <f t="shared" si="28"/>
        <v>64937</v>
      </c>
      <c r="M66" s="196">
        <f>H66/H$8</f>
        <v>3.4443514698165147E-3</v>
      </c>
      <c r="N66" s="103"/>
    </row>
    <row r="67" spans="1:14" x14ac:dyDescent="0.25">
      <c r="A67" s="193" t="s">
        <v>102</v>
      </c>
      <c r="B67" s="194" t="s">
        <v>102</v>
      </c>
      <c r="C67" s="195">
        <v>90447</v>
      </c>
      <c r="D67" s="195">
        <v>61246</v>
      </c>
      <c r="E67" s="195">
        <v>24428</v>
      </c>
      <c r="F67" s="195">
        <v>46538</v>
      </c>
      <c r="G67" s="195">
        <v>81929</v>
      </c>
      <c r="H67" s="195">
        <v>132084</v>
      </c>
      <c r="I67" s="196">
        <f>IFERROR(H67/G67-1,"-")</f>
        <v>0.61217639663611179</v>
      </c>
      <c r="J67" s="212">
        <f t="shared" si="26"/>
        <v>4.4070738496806943</v>
      </c>
      <c r="K67" s="195">
        <f t="shared" si="27"/>
        <v>50155</v>
      </c>
      <c r="L67" s="195">
        <f t="shared" si="28"/>
        <v>107656</v>
      </c>
      <c r="M67" s="196">
        <f>H67/H$8</f>
        <v>3.6611947396145571E-3</v>
      </c>
      <c r="N67" s="103"/>
    </row>
    <row r="68" spans="1:14" x14ac:dyDescent="0.25">
      <c r="A68" s="1"/>
      <c r="B68" s="190" t="s">
        <v>109</v>
      </c>
      <c r="C68" s="191">
        <v>676089</v>
      </c>
      <c r="D68" s="191">
        <v>211176</v>
      </c>
      <c r="E68" s="191">
        <v>335618</v>
      </c>
      <c r="F68" s="191">
        <v>895441</v>
      </c>
      <c r="G68" s="191">
        <v>861482</v>
      </c>
      <c r="H68" s="191">
        <v>1105070</v>
      </c>
      <c r="I68" s="192">
        <f>IFERROR(H68/G68-1,"-")</f>
        <v>0.28275460195337798</v>
      </c>
      <c r="J68" s="211">
        <f t="shared" si="26"/>
        <v>2.2926422301545211</v>
      </c>
      <c r="K68" s="191">
        <f t="shared" si="27"/>
        <v>243588</v>
      </c>
      <c r="L68" s="191">
        <f t="shared" si="28"/>
        <v>769452</v>
      </c>
      <c r="M68" s="192">
        <f>H68/H$8</f>
        <v>3.063108681525286E-2</v>
      </c>
      <c r="N68" s="103"/>
    </row>
    <row r="69" spans="1:14" s="74" customFormat="1" x14ac:dyDescent="0.25">
      <c r="B69" s="194" t="s">
        <v>112</v>
      </c>
      <c r="C69" s="195">
        <v>286315</v>
      </c>
      <c r="D69" s="195">
        <v>94120</v>
      </c>
      <c r="E69" s="195">
        <v>85414</v>
      </c>
      <c r="F69" s="195">
        <v>399420</v>
      </c>
      <c r="G69" s="195">
        <v>324780</v>
      </c>
      <c r="H69" s="195">
        <v>454766</v>
      </c>
      <c r="I69" s="196">
        <f t="shared" ref="I69:I76" si="29">IFERROR(H69/G69-1,"-")</f>
        <v>0.40022784654227483</v>
      </c>
      <c r="J69" s="212">
        <f t="shared" si="26"/>
        <v>4.3242559767719575</v>
      </c>
      <c r="K69" s="195">
        <f t="shared" si="27"/>
        <v>129986</v>
      </c>
      <c r="L69" s="195">
        <f t="shared" si="28"/>
        <v>369352</v>
      </c>
      <c r="M69" s="196">
        <f t="shared" ref="M69:M76" si="30">H69/H$8</f>
        <v>1.2605515330816403E-2</v>
      </c>
      <c r="N69" s="197"/>
    </row>
    <row r="70" spans="1:14" s="74" customFormat="1" x14ac:dyDescent="0.25">
      <c r="B70" s="194" t="s">
        <v>115</v>
      </c>
      <c r="C70" s="195">
        <v>94492</v>
      </c>
      <c r="D70" s="195">
        <v>27344</v>
      </c>
      <c r="E70" s="195">
        <v>36140</v>
      </c>
      <c r="F70" s="195">
        <v>56705</v>
      </c>
      <c r="G70" s="195">
        <v>85292</v>
      </c>
      <c r="H70" s="195">
        <v>78559</v>
      </c>
      <c r="I70" s="196">
        <f t="shared" si="29"/>
        <v>-7.8940580593725107E-2</v>
      </c>
      <c r="J70" s="212">
        <f t="shared" si="26"/>
        <v>1.1737410071942445</v>
      </c>
      <c r="K70" s="195">
        <f t="shared" si="27"/>
        <v>-6733</v>
      </c>
      <c r="L70" s="195">
        <f t="shared" si="28"/>
        <v>42419</v>
      </c>
      <c r="M70" s="196">
        <f t="shared" si="30"/>
        <v>2.1775521452210714E-3</v>
      </c>
      <c r="N70" s="197"/>
    </row>
    <row r="71" spans="1:14" x14ac:dyDescent="0.25">
      <c r="A71" s="1"/>
      <c r="B71" s="194" t="s">
        <v>118</v>
      </c>
      <c r="C71" s="195">
        <v>75234</v>
      </c>
      <c r="D71" s="195">
        <v>21566</v>
      </c>
      <c r="E71" s="195">
        <v>44372</v>
      </c>
      <c r="F71" s="195">
        <v>126795</v>
      </c>
      <c r="G71" s="195">
        <v>108706</v>
      </c>
      <c r="H71" s="195">
        <v>131979</v>
      </c>
      <c r="I71" s="196">
        <f t="shared" si="29"/>
        <v>0.21409121851599733</v>
      </c>
      <c r="J71" s="212">
        <f t="shared" si="26"/>
        <v>1.9743757324438835</v>
      </c>
      <c r="K71" s="195">
        <f t="shared" si="27"/>
        <v>23273</v>
      </c>
      <c r="L71" s="195">
        <f t="shared" si="28"/>
        <v>87607</v>
      </c>
      <c r="M71" s="196">
        <f t="shared" si="30"/>
        <v>3.6582842777292453E-3</v>
      </c>
      <c r="N71" s="103"/>
    </row>
    <row r="72" spans="1:14" x14ac:dyDescent="0.25">
      <c r="A72" s="1"/>
      <c r="B72" s="194" t="s">
        <v>125</v>
      </c>
      <c r="C72" s="195">
        <v>11792</v>
      </c>
      <c r="D72" s="195">
        <v>3914</v>
      </c>
      <c r="E72" s="195">
        <v>28426</v>
      </c>
      <c r="F72" s="195">
        <v>25157</v>
      </c>
      <c r="G72" s="195">
        <v>26613</v>
      </c>
      <c r="H72" s="195">
        <v>47499</v>
      </c>
      <c r="I72" s="196">
        <f t="shared" si="29"/>
        <v>0.7848044188930221</v>
      </c>
      <c r="J72" s="212">
        <f t="shared" si="26"/>
        <v>0.67097023851403637</v>
      </c>
      <c r="K72" s="195">
        <f t="shared" si="27"/>
        <v>20886</v>
      </c>
      <c r="L72" s="195">
        <f t="shared" si="28"/>
        <v>19073</v>
      </c>
      <c r="M72" s="196">
        <f t="shared" si="30"/>
        <v>1.3166098008612083E-3</v>
      </c>
      <c r="N72" s="103"/>
    </row>
    <row r="73" spans="1:14" x14ac:dyDescent="0.25">
      <c r="A73" s="1"/>
      <c r="B73" s="194" t="s">
        <v>121</v>
      </c>
      <c r="C73" s="195">
        <v>17507</v>
      </c>
      <c r="D73" s="195">
        <v>8571</v>
      </c>
      <c r="E73" s="195">
        <v>16869</v>
      </c>
      <c r="F73" s="195">
        <v>22926</v>
      </c>
      <c r="G73" s="195">
        <v>17467</v>
      </c>
      <c r="H73" s="195">
        <v>27574</v>
      </c>
      <c r="I73" s="196">
        <f t="shared" si="29"/>
        <v>0.5786339955344364</v>
      </c>
      <c r="J73" s="212">
        <f t="shared" si="26"/>
        <v>0.63459600450530562</v>
      </c>
      <c r="K73" s="195">
        <f t="shared" si="27"/>
        <v>10107</v>
      </c>
      <c r="L73" s="195">
        <f t="shared" si="28"/>
        <v>10705</v>
      </c>
      <c r="M73" s="196">
        <f t="shared" si="30"/>
        <v>7.6431500976751005E-4</v>
      </c>
      <c r="N73" s="103"/>
    </row>
    <row r="74" spans="1:14" x14ac:dyDescent="0.25">
      <c r="A74" s="1"/>
      <c r="B74" s="194" t="s">
        <v>130</v>
      </c>
      <c r="C74" s="195">
        <v>15819</v>
      </c>
      <c r="D74" s="195">
        <v>5541</v>
      </c>
      <c r="E74" s="195">
        <v>14404</v>
      </c>
      <c r="F74" s="195">
        <v>20957</v>
      </c>
      <c r="G74" s="195">
        <v>26801</v>
      </c>
      <c r="H74" s="195">
        <v>24320</v>
      </c>
      <c r="I74" s="196">
        <f t="shared" si="29"/>
        <v>-9.2571172717435868E-2</v>
      </c>
      <c r="J74" s="212">
        <f t="shared" si="26"/>
        <v>0.68841988336573179</v>
      </c>
      <c r="K74" s="195">
        <f t="shared" si="27"/>
        <v>-2481</v>
      </c>
      <c r="L74" s="195">
        <f t="shared" si="28"/>
        <v>9916</v>
      </c>
      <c r="M74" s="196">
        <f t="shared" si="30"/>
        <v>6.7411841000746518E-4</v>
      </c>
      <c r="N74" s="103"/>
    </row>
    <row r="75" spans="1:14" x14ac:dyDescent="0.25">
      <c r="A75" s="193" t="s">
        <v>146</v>
      </c>
      <c r="B75" s="194" t="s">
        <v>133</v>
      </c>
      <c r="C75" s="195">
        <v>12733</v>
      </c>
      <c r="D75" s="195">
        <v>5018</v>
      </c>
      <c r="E75" s="195">
        <v>1659</v>
      </c>
      <c r="F75" s="195">
        <v>6100</v>
      </c>
      <c r="G75" s="195">
        <v>7680</v>
      </c>
      <c r="H75" s="195">
        <v>21506</v>
      </c>
      <c r="I75" s="196">
        <f t="shared" si="29"/>
        <v>1.8002604166666667</v>
      </c>
      <c r="J75" s="212">
        <f t="shared" si="26"/>
        <v>11.963230861965039</v>
      </c>
      <c r="K75" s="195">
        <f t="shared" si="27"/>
        <v>13826</v>
      </c>
      <c r="L75" s="195">
        <f t="shared" si="28"/>
        <v>19847</v>
      </c>
      <c r="M75" s="196">
        <f t="shared" si="30"/>
        <v>5.9611803148110795E-4</v>
      </c>
      <c r="N75" s="103"/>
    </row>
    <row r="76" spans="1:14" x14ac:dyDescent="0.25">
      <c r="A76" s="198" t="s">
        <v>147</v>
      </c>
      <c r="B76" s="199" t="s">
        <v>147</v>
      </c>
      <c r="C76" s="200">
        <f t="shared" ref="C76:H76" si="31">C68-SUM(C69:C75)</f>
        <v>162197</v>
      </c>
      <c r="D76" s="200">
        <f t="shared" si="31"/>
        <v>45102</v>
      </c>
      <c r="E76" s="200">
        <f t="shared" si="31"/>
        <v>108334</v>
      </c>
      <c r="F76" s="200">
        <f t="shared" si="31"/>
        <v>237381</v>
      </c>
      <c r="G76" s="200">
        <f t="shared" si="31"/>
        <v>264143</v>
      </c>
      <c r="H76" s="200">
        <f t="shared" si="31"/>
        <v>318867</v>
      </c>
      <c r="I76" s="201">
        <f t="shared" si="29"/>
        <v>0.20717565863944909</v>
      </c>
      <c r="J76" s="213">
        <f t="shared" si="26"/>
        <v>1.9433695792641275</v>
      </c>
      <c r="K76" s="200">
        <f>H76-G76</f>
        <v>54724</v>
      </c>
      <c r="L76" s="200">
        <f t="shared" si="28"/>
        <v>210533</v>
      </c>
      <c r="M76" s="201">
        <f t="shared" si="30"/>
        <v>8.8385738093688486E-3</v>
      </c>
      <c r="N76" s="103"/>
    </row>
    <row r="77" spans="1:14" s="177" customFormat="1" x14ac:dyDescent="0.25">
      <c r="B77" s="186" t="s">
        <v>50</v>
      </c>
      <c r="C77" s="184"/>
      <c r="D77" s="184"/>
      <c r="E77" s="184"/>
      <c r="F77" s="184"/>
      <c r="G77" s="184"/>
      <c r="H77" s="184"/>
      <c r="I77" s="184"/>
      <c r="J77" s="184"/>
      <c r="K77" s="184"/>
      <c r="L77" s="184"/>
      <c r="M77" s="184"/>
    </row>
    <row r="78" spans="1:14" x14ac:dyDescent="0.25">
      <c r="A78" s="1">
        <v>3</v>
      </c>
      <c r="B78" s="187" t="s">
        <v>70</v>
      </c>
      <c r="C78" s="209">
        <v>5492551</v>
      </c>
      <c r="D78" s="209">
        <v>1546641</v>
      </c>
      <c r="E78" s="209">
        <v>1967362</v>
      </c>
      <c r="F78" s="209">
        <v>4352393</v>
      </c>
      <c r="G78" s="209">
        <v>5123327</v>
      </c>
      <c r="H78" s="209">
        <v>5751799</v>
      </c>
      <c r="I78" s="210">
        <f>IFERROR(H78/G78-1,"-")</f>
        <v>0.12266872678632468</v>
      </c>
      <c r="J78" s="210">
        <f>IFERROR(H78/E78-1,"-")</f>
        <v>1.9236098897915075</v>
      </c>
      <c r="K78" s="209">
        <f>H78-G78</f>
        <v>628472</v>
      </c>
      <c r="L78" s="209">
        <f>H78-E78</f>
        <v>3784437</v>
      </c>
      <c r="M78" s="210">
        <f>H78/H$8</f>
        <v>0.15943230249023554</v>
      </c>
      <c r="N78" s="103"/>
    </row>
    <row r="79" spans="1:14" x14ac:dyDescent="0.25">
      <c r="A79" s="1" t="s">
        <v>98</v>
      </c>
      <c r="B79" s="190" t="s">
        <v>99</v>
      </c>
      <c r="C79" s="191">
        <v>1871426</v>
      </c>
      <c r="D79" s="191">
        <v>472177</v>
      </c>
      <c r="E79" s="191">
        <v>765462</v>
      </c>
      <c r="F79" s="191">
        <v>1656388</v>
      </c>
      <c r="G79" s="191">
        <v>1641108</v>
      </c>
      <c r="H79" s="191">
        <v>1680399</v>
      </c>
      <c r="I79" s="192">
        <f>IFERROR(H79/G79-1,"-")</f>
        <v>2.3941751548344214E-2</v>
      </c>
      <c r="J79" s="211">
        <f t="shared" ref="J79:J90" si="32">IFERROR(H79/E79-1,"-")</f>
        <v>1.1952742265455374</v>
      </c>
      <c r="K79" s="191">
        <f t="shared" ref="K79:K89" si="33">H79-G79</f>
        <v>39291</v>
      </c>
      <c r="L79" s="191">
        <f t="shared" ref="L79:L90" si="34">H79-E79</f>
        <v>914937</v>
      </c>
      <c r="M79" s="192">
        <f>H79/H$8</f>
        <v>4.6578449920153558E-2</v>
      </c>
      <c r="N79" s="103"/>
    </row>
    <row r="80" spans="1:14" x14ac:dyDescent="0.25">
      <c r="A80" s="193" t="s">
        <v>105</v>
      </c>
      <c r="B80" s="194" t="s">
        <v>105</v>
      </c>
      <c r="C80" s="195">
        <v>208038</v>
      </c>
      <c r="D80" s="195">
        <v>71537</v>
      </c>
      <c r="E80" s="195">
        <v>181910</v>
      </c>
      <c r="F80" s="195">
        <v>247663</v>
      </c>
      <c r="G80" s="195">
        <v>255714</v>
      </c>
      <c r="H80" s="195">
        <v>287334</v>
      </c>
      <c r="I80" s="196">
        <f>IFERROR(H80/G80-1,"-")</f>
        <v>0.1236537694455524</v>
      </c>
      <c r="J80" s="212">
        <f t="shared" si="32"/>
        <v>0.5795393326370184</v>
      </c>
      <c r="K80" s="195">
        <f t="shared" si="33"/>
        <v>31620</v>
      </c>
      <c r="L80" s="195">
        <f t="shared" si="34"/>
        <v>105424</v>
      </c>
      <c r="M80" s="196">
        <f>H80/H$8</f>
        <v>7.9645205271827724E-3</v>
      </c>
      <c r="N80" s="103"/>
    </row>
    <row r="81" spans="1:14" x14ac:dyDescent="0.25">
      <c r="A81" s="193" t="s">
        <v>102</v>
      </c>
      <c r="B81" s="194" t="s">
        <v>102</v>
      </c>
      <c r="C81" s="195">
        <v>1663388</v>
      </c>
      <c r="D81" s="195">
        <v>400640</v>
      </c>
      <c r="E81" s="195">
        <v>583552</v>
      </c>
      <c r="F81" s="195">
        <v>1408725</v>
      </c>
      <c r="G81" s="195">
        <v>1385394</v>
      </c>
      <c r="H81" s="195">
        <v>1393065</v>
      </c>
      <c r="I81" s="196">
        <f>IFERROR(H81/G81-1,"-")</f>
        <v>5.5370529971978666E-3</v>
      </c>
      <c r="J81" s="212">
        <f t="shared" si="32"/>
        <v>1.3872165633910947</v>
      </c>
      <c r="K81" s="195">
        <f t="shared" si="33"/>
        <v>7671</v>
      </c>
      <c r="L81" s="195">
        <f t="shared" si="34"/>
        <v>809513</v>
      </c>
      <c r="M81" s="196">
        <f>H81/H$8</f>
        <v>3.8613929392970786E-2</v>
      </c>
      <c r="N81" s="103"/>
    </row>
    <row r="82" spans="1:14" x14ac:dyDescent="0.25">
      <c r="A82" s="1"/>
      <c r="B82" s="190" t="s">
        <v>109</v>
      </c>
      <c r="C82" s="191">
        <v>3621125</v>
      </c>
      <c r="D82" s="191">
        <v>1074464</v>
      </c>
      <c r="E82" s="191">
        <v>1201900</v>
      </c>
      <c r="F82" s="191">
        <v>2696005</v>
      </c>
      <c r="G82" s="191">
        <v>3482219</v>
      </c>
      <c r="H82" s="191">
        <v>4071400</v>
      </c>
      <c r="I82" s="192">
        <f>IFERROR(H82/G82-1,"-")</f>
        <v>0.16919699766154861</v>
      </c>
      <c r="J82" s="211">
        <f t="shared" si="32"/>
        <v>2.3874698394209171</v>
      </c>
      <c r="K82" s="191">
        <f t="shared" si="33"/>
        <v>589181</v>
      </c>
      <c r="L82" s="191">
        <f t="shared" si="34"/>
        <v>2869500</v>
      </c>
      <c r="M82" s="192">
        <f>H82/H$8</f>
        <v>0.11285385257008199</v>
      </c>
      <c r="N82" s="103"/>
    </row>
    <row r="83" spans="1:14" s="74" customFormat="1" x14ac:dyDescent="0.25">
      <c r="B83" s="194" t="s">
        <v>112</v>
      </c>
      <c r="C83" s="195">
        <v>574884</v>
      </c>
      <c r="D83" s="195">
        <v>163077</v>
      </c>
      <c r="E83" s="195">
        <v>114301</v>
      </c>
      <c r="F83" s="195">
        <v>504044</v>
      </c>
      <c r="G83" s="195">
        <v>666541</v>
      </c>
      <c r="H83" s="195">
        <v>786563</v>
      </c>
      <c r="I83" s="196">
        <f t="shared" ref="I83:I90" si="35">IFERROR(H83/G83-1,"-")</f>
        <v>0.18006694261868361</v>
      </c>
      <c r="J83" s="212">
        <f t="shared" si="32"/>
        <v>5.8815058485927505</v>
      </c>
      <c r="K83" s="195">
        <f t="shared" si="33"/>
        <v>120022</v>
      </c>
      <c r="L83" s="195">
        <f t="shared" si="34"/>
        <v>672262</v>
      </c>
      <c r="M83" s="196">
        <f t="shared" ref="M83:M90" si="36">H83/H$8</f>
        <v>2.1802491732347939E-2</v>
      </c>
      <c r="N83" s="197"/>
    </row>
    <row r="84" spans="1:14" s="74" customFormat="1" x14ac:dyDescent="0.25">
      <c r="B84" s="194" t="s">
        <v>115</v>
      </c>
      <c r="C84" s="195">
        <v>1562789</v>
      </c>
      <c r="D84" s="195">
        <v>445011</v>
      </c>
      <c r="E84" s="195">
        <v>478237</v>
      </c>
      <c r="F84" s="195">
        <v>1014024</v>
      </c>
      <c r="G84" s="195">
        <v>1210830</v>
      </c>
      <c r="H84" s="195">
        <v>1374516</v>
      </c>
      <c r="I84" s="196">
        <f t="shared" si="35"/>
        <v>0.13518495577413847</v>
      </c>
      <c r="J84" s="212">
        <f t="shared" si="32"/>
        <v>1.8741314452875875</v>
      </c>
      <c r="K84" s="195">
        <f t="shared" si="33"/>
        <v>163686</v>
      </c>
      <c r="L84" s="195">
        <f t="shared" si="34"/>
        <v>896279</v>
      </c>
      <c r="M84" s="196">
        <f t="shared" si="36"/>
        <v>3.8099775511916983E-2</v>
      </c>
      <c r="N84" s="197"/>
    </row>
    <row r="85" spans="1:14" x14ac:dyDescent="0.25">
      <c r="A85" s="1"/>
      <c r="B85" s="194" t="s">
        <v>118</v>
      </c>
      <c r="C85" s="195">
        <v>173660</v>
      </c>
      <c r="D85" s="195">
        <v>48969</v>
      </c>
      <c r="E85" s="195">
        <v>105849</v>
      </c>
      <c r="F85" s="195">
        <v>179405</v>
      </c>
      <c r="G85" s="195">
        <v>275311</v>
      </c>
      <c r="H85" s="195">
        <v>384207</v>
      </c>
      <c r="I85" s="196">
        <f t="shared" si="35"/>
        <v>0.3955381368706663</v>
      </c>
      <c r="J85" s="212">
        <f t="shared" si="32"/>
        <v>2.6297650426551029</v>
      </c>
      <c r="K85" s="195">
        <f t="shared" si="33"/>
        <v>108896</v>
      </c>
      <c r="L85" s="195">
        <f t="shared" si="34"/>
        <v>278358</v>
      </c>
      <c r="M85" s="196">
        <f t="shared" si="36"/>
        <v>1.0649712662571472E-2</v>
      </c>
      <c r="N85" s="103"/>
    </row>
    <row r="86" spans="1:14" x14ac:dyDescent="0.25">
      <c r="A86" s="1"/>
      <c r="B86" s="194" t="s">
        <v>125</v>
      </c>
      <c r="C86" s="195">
        <v>75235</v>
      </c>
      <c r="D86" s="195">
        <v>15102</v>
      </c>
      <c r="E86" s="195">
        <v>38224</v>
      </c>
      <c r="F86" s="195">
        <v>75513</v>
      </c>
      <c r="G86" s="195">
        <v>90350</v>
      </c>
      <c r="H86" s="195">
        <v>134266</v>
      </c>
      <c r="I86" s="196">
        <f t="shared" si="35"/>
        <v>0.48606530160486994</v>
      </c>
      <c r="J86" s="212">
        <f t="shared" si="32"/>
        <v>2.5126098786102973</v>
      </c>
      <c r="K86" s="195">
        <f t="shared" si="33"/>
        <v>43916</v>
      </c>
      <c r="L86" s="195">
        <f t="shared" si="34"/>
        <v>96042</v>
      </c>
      <c r="M86" s="196">
        <f t="shared" si="36"/>
        <v>3.7216769094597993E-3</v>
      </c>
      <c r="N86" s="103"/>
    </row>
    <row r="87" spans="1:14" x14ac:dyDescent="0.25">
      <c r="A87" s="1"/>
      <c r="B87" s="194" t="s">
        <v>121</v>
      </c>
      <c r="C87" s="195">
        <v>46816</v>
      </c>
      <c r="D87" s="195">
        <v>14962</v>
      </c>
      <c r="E87" s="195">
        <v>33300</v>
      </c>
      <c r="F87" s="195">
        <v>33738</v>
      </c>
      <c r="G87" s="195">
        <v>45567</v>
      </c>
      <c r="H87" s="195">
        <v>58820</v>
      </c>
      <c r="I87" s="196">
        <f t="shared" si="35"/>
        <v>0.29084644589286102</v>
      </c>
      <c r="J87" s="212">
        <f t="shared" si="32"/>
        <v>0.76636636636636646</v>
      </c>
      <c r="K87" s="195">
        <f t="shared" si="33"/>
        <v>13253</v>
      </c>
      <c r="L87" s="195">
        <f t="shared" si="34"/>
        <v>25520</v>
      </c>
      <c r="M87" s="196">
        <f t="shared" si="36"/>
        <v>1.6304130294670684E-3</v>
      </c>
      <c r="N87" s="103"/>
    </row>
    <row r="88" spans="1:14" x14ac:dyDescent="0.25">
      <c r="A88" s="1"/>
      <c r="B88" s="194" t="s">
        <v>130</v>
      </c>
      <c r="C88" s="195">
        <v>74813</v>
      </c>
      <c r="D88" s="195">
        <v>30460</v>
      </c>
      <c r="E88" s="195">
        <v>20871</v>
      </c>
      <c r="F88" s="195">
        <v>63463</v>
      </c>
      <c r="G88" s="195">
        <v>74935</v>
      </c>
      <c r="H88" s="195">
        <v>68632</v>
      </c>
      <c r="I88" s="196">
        <f t="shared" si="35"/>
        <v>-8.4112897844798806E-2</v>
      </c>
      <c r="J88" s="212">
        <f t="shared" si="32"/>
        <v>2.2883905898136168</v>
      </c>
      <c r="K88" s="195">
        <f t="shared" si="33"/>
        <v>-6303</v>
      </c>
      <c r="L88" s="195">
        <f t="shared" si="34"/>
        <v>47761</v>
      </c>
      <c r="M88" s="196">
        <f t="shared" si="36"/>
        <v>1.9023887629783039E-3</v>
      </c>
      <c r="N88" s="103"/>
    </row>
    <row r="89" spans="1:14" x14ac:dyDescent="0.25">
      <c r="A89" s="193" t="s">
        <v>146</v>
      </c>
      <c r="B89" s="194" t="s">
        <v>133</v>
      </c>
      <c r="C89" s="195">
        <v>112745</v>
      </c>
      <c r="D89" s="195">
        <v>50030</v>
      </c>
      <c r="E89" s="195">
        <v>22441</v>
      </c>
      <c r="F89" s="195">
        <v>59972</v>
      </c>
      <c r="G89" s="195">
        <v>81697</v>
      </c>
      <c r="H89" s="195">
        <v>79675</v>
      </c>
      <c r="I89" s="196">
        <f t="shared" si="35"/>
        <v>-2.4749990819736389E-2</v>
      </c>
      <c r="J89" s="212">
        <f t="shared" si="32"/>
        <v>2.5504211042288669</v>
      </c>
      <c r="K89" s="195">
        <f t="shared" si="33"/>
        <v>-2022</v>
      </c>
      <c r="L89" s="195">
        <f t="shared" si="34"/>
        <v>57234</v>
      </c>
      <c r="M89" s="196">
        <f t="shared" si="36"/>
        <v>2.2084861972592432E-3</v>
      </c>
      <c r="N89" s="103"/>
    </row>
    <row r="90" spans="1:14" x14ac:dyDescent="0.25">
      <c r="A90" s="198" t="s">
        <v>147</v>
      </c>
      <c r="B90" s="199" t="s">
        <v>147</v>
      </c>
      <c r="C90" s="200">
        <f t="shared" ref="C90:H90" si="37">C82-SUM(C83:C89)</f>
        <v>1000183</v>
      </c>
      <c r="D90" s="200">
        <f t="shared" si="37"/>
        <v>306853</v>
      </c>
      <c r="E90" s="200">
        <f t="shared" si="37"/>
        <v>388677</v>
      </c>
      <c r="F90" s="200">
        <f t="shared" si="37"/>
        <v>765846</v>
      </c>
      <c r="G90" s="200">
        <f t="shared" si="37"/>
        <v>1036988</v>
      </c>
      <c r="H90" s="200">
        <f t="shared" si="37"/>
        <v>1184721</v>
      </c>
      <c r="I90" s="201">
        <f t="shared" si="35"/>
        <v>0.14246355791966736</v>
      </c>
      <c r="J90" s="213">
        <f t="shared" si="32"/>
        <v>2.0480862001096027</v>
      </c>
      <c r="K90" s="200">
        <f>H90-G90</f>
        <v>147733</v>
      </c>
      <c r="L90" s="200">
        <f t="shared" si="34"/>
        <v>796044</v>
      </c>
      <c r="M90" s="201">
        <f t="shared" si="36"/>
        <v>3.2838907764081174E-2</v>
      </c>
      <c r="N90" s="103"/>
    </row>
    <row r="91" spans="1:14" s="177" customFormat="1" x14ac:dyDescent="0.25">
      <c r="B91" s="186" t="s">
        <v>51</v>
      </c>
      <c r="C91" s="184"/>
      <c r="D91" s="184"/>
      <c r="E91" s="184"/>
      <c r="F91" s="184"/>
      <c r="G91" s="184"/>
      <c r="H91" s="184"/>
      <c r="I91" s="184"/>
      <c r="J91" s="184"/>
      <c r="K91" s="184"/>
      <c r="L91" s="184"/>
      <c r="M91" s="184"/>
    </row>
    <row r="92" spans="1:14" x14ac:dyDescent="0.25">
      <c r="A92" s="1">
        <v>3</v>
      </c>
      <c r="B92" s="187" t="s">
        <v>70</v>
      </c>
      <c r="C92" s="209">
        <v>136126</v>
      </c>
      <c r="D92" s="209">
        <v>59047</v>
      </c>
      <c r="E92" s="209">
        <v>83402</v>
      </c>
      <c r="F92" s="209">
        <v>137757</v>
      </c>
      <c r="G92" s="209">
        <v>148334</v>
      </c>
      <c r="H92" s="209">
        <v>152300</v>
      </c>
      <c r="I92" s="210">
        <f>IFERROR(H92/G92-1,"-")</f>
        <v>2.6736958485579887E-2</v>
      </c>
      <c r="J92" s="210">
        <f>IFERROR(H92/E92-1,"-")</f>
        <v>0.82609529747488075</v>
      </c>
      <c r="K92" s="209">
        <f>H92-G92</f>
        <v>3966</v>
      </c>
      <c r="L92" s="209">
        <f>H92-E92</f>
        <v>68898</v>
      </c>
      <c r="M92" s="210">
        <f>H92/H$8</f>
        <v>4.2215556679332626E-3</v>
      </c>
      <c r="N92" s="103"/>
    </row>
    <row r="93" spans="1:14" x14ac:dyDescent="0.25">
      <c r="A93" s="1" t="s">
        <v>98</v>
      </c>
      <c r="B93" s="190" t="s">
        <v>99</v>
      </c>
      <c r="C93" s="191">
        <v>72932</v>
      </c>
      <c r="D93" s="191">
        <v>31800</v>
      </c>
      <c r="E93" s="191">
        <v>42063</v>
      </c>
      <c r="F93" s="191">
        <v>70951</v>
      </c>
      <c r="G93" s="191">
        <v>72432</v>
      </c>
      <c r="H93" s="191">
        <v>71061</v>
      </c>
      <c r="I93" s="192">
        <f>IFERROR(H93/G93-1,"-")</f>
        <v>-1.8928098078197508E-2</v>
      </c>
      <c r="J93" s="211">
        <f t="shared" ref="J93:J104" si="38">IFERROR(H93/E93-1,"-")</f>
        <v>0.68939447970900791</v>
      </c>
      <c r="K93" s="191">
        <f t="shared" ref="K93:K103" si="39">H93-G93</f>
        <v>-1371</v>
      </c>
      <c r="L93" s="191">
        <f t="shared" ref="L93:L104" si="40">H93-E93</f>
        <v>28998</v>
      </c>
      <c r="M93" s="192">
        <f>H93/H$8</f>
        <v>1.9697174479251845E-3</v>
      </c>
      <c r="N93" s="103"/>
    </row>
    <row r="94" spans="1:14" x14ac:dyDescent="0.25">
      <c r="A94" s="193" t="s">
        <v>105</v>
      </c>
      <c r="B94" s="194" t="s">
        <v>105</v>
      </c>
      <c r="C94" s="195">
        <v>33003</v>
      </c>
      <c r="D94" s="195">
        <v>15549</v>
      </c>
      <c r="E94" s="195">
        <v>20037</v>
      </c>
      <c r="F94" s="195">
        <v>30228</v>
      </c>
      <c r="G94" s="195">
        <v>19606</v>
      </c>
      <c r="H94" s="195">
        <v>21646</v>
      </c>
      <c r="I94" s="196">
        <f>IFERROR(H94/G94-1,"-")</f>
        <v>0.10404978067938386</v>
      </c>
      <c r="J94" s="212">
        <f t="shared" si="38"/>
        <v>8.0301442331686346E-2</v>
      </c>
      <c r="K94" s="195">
        <f t="shared" si="39"/>
        <v>2040</v>
      </c>
      <c r="L94" s="195">
        <f t="shared" si="40"/>
        <v>1609</v>
      </c>
      <c r="M94" s="196">
        <f>H94/H$8</f>
        <v>5.9999864732819042E-4</v>
      </c>
      <c r="N94" s="103"/>
    </row>
    <row r="95" spans="1:14" x14ac:dyDescent="0.25">
      <c r="A95" s="193" t="s">
        <v>102</v>
      </c>
      <c r="B95" s="194" t="s">
        <v>102</v>
      </c>
      <c r="C95" s="195">
        <v>39929</v>
      </c>
      <c r="D95" s="195">
        <v>16251</v>
      </c>
      <c r="E95" s="195">
        <v>22026</v>
      </c>
      <c r="F95" s="195">
        <v>40723</v>
      </c>
      <c r="G95" s="195">
        <v>52826</v>
      </c>
      <c r="H95" s="195">
        <v>49415</v>
      </c>
      <c r="I95" s="196">
        <f>IFERROR(H95/G95-1,"-")</f>
        <v>-6.4570476659220888E-2</v>
      </c>
      <c r="J95" s="212">
        <f t="shared" si="38"/>
        <v>1.2434849723054571</v>
      </c>
      <c r="K95" s="195">
        <f t="shared" si="39"/>
        <v>-3411</v>
      </c>
      <c r="L95" s="195">
        <f t="shared" si="40"/>
        <v>27389</v>
      </c>
      <c r="M95" s="196">
        <f>H95/H$8</f>
        <v>1.3697188005969939E-3</v>
      </c>
      <c r="N95" s="103"/>
    </row>
    <row r="96" spans="1:14" x14ac:dyDescent="0.25">
      <c r="A96" s="1"/>
      <c r="B96" s="190" t="s">
        <v>109</v>
      </c>
      <c r="C96" s="191">
        <v>63194</v>
      </c>
      <c r="D96" s="191">
        <v>27247</v>
      </c>
      <c r="E96" s="191">
        <v>41339</v>
      </c>
      <c r="F96" s="191">
        <v>66806</v>
      </c>
      <c r="G96" s="191">
        <v>75902</v>
      </c>
      <c r="H96" s="191">
        <v>81239</v>
      </c>
      <c r="I96" s="192">
        <f>IFERROR(H96/G96-1,"-")</f>
        <v>7.0314352717978368E-2</v>
      </c>
      <c r="J96" s="211">
        <f t="shared" si="38"/>
        <v>0.96519025617455667</v>
      </c>
      <c r="K96" s="191">
        <f t="shared" si="39"/>
        <v>5337</v>
      </c>
      <c r="L96" s="191">
        <f t="shared" si="40"/>
        <v>39900</v>
      </c>
      <c r="M96" s="192">
        <f>H96/H$8</f>
        <v>2.2518382200080785E-3</v>
      </c>
      <c r="N96" s="103"/>
    </row>
    <row r="97" spans="1:14" s="74" customFormat="1" x14ac:dyDescent="0.25">
      <c r="B97" s="194" t="s">
        <v>112</v>
      </c>
      <c r="C97" s="195">
        <v>8082</v>
      </c>
      <c r="D97" s="195">
        <v>5019</v>
      </c>
      <c r="E97" s="195">
        <v>3494</v>
      </c>
      <c r="F97" s="195">
        <v>9249</v>
      </c>
      <c r="G97" s="195">
        <v>11177</v>
      </c>
      <c r="H97" s="195">
        <v>12296</v>
      </c>
      <c r="I97" s="196">
        <f t="shared" ref="I97:I104" si="41">IFERROR(H97/G97-1,"-")</f>
        <v>0.10011631028003931</v>
      </c>
      <c r="J97" s="212">
        <f t="shared" si="38"/>
        <v>2.5191757298225528</v>
      </c>
      <c r="K97" s="195">
        <f t="shared" si="39"/>
        <v>1119</v>
      </c>
      <c r="L97" s="195">
        <f t="shared" si="40"/>
        <v>8802</v>
      </c>
      <c r="M97" s="196">
        <f t="shared" ref="M97:M104" si="42">H97/H$8</f>
        <v>3.4082894611232699E-4</v>
      </c>
      <c r="N97" s="197"/>
    </row>
    <row r="98" spans="1:14" s="74" customFormat="1" x14ac:dyDescent="0.25">
      <c r="B98" s="194" t="s">
        <v>115</v>
      </c>
      <c r="C98" s="195">
        <v>21366</v>
      </c>
      <c r="D98" s="195">
        <v>7473</v>
      </c>
      <c r="E98" s="195">
        <v>15393</v>
      </c>
      <c r="F98" s="195">
        <v>21050</v>
      </c>
      <c r="G98" s="195">
        <v>22639</v>
      </c>
      <c r="H98" s="195">
        <v>25055</v>
      </c>
      <c r="I98" s="196">
        <f t="shared" si="41"/>
        <v>0.10671849463315519</v>
      </c>
      <c r="J98" s="212">
        <f t="shared" si="38"/>
        <v>0.6276879100890016</v>
      </c>
      <c r="K98" s="195">
        <f t="shared" si="39"/>
        <v>2416</v>
      </c>
      <c r="L98" s="195">
        <f t="shared" si="40"/>
        <v>9662</v>
      </c>
      <c r="M98" s="196">
        <f t="shared" si="42"/>
        <v>6.9449164320464806E-4</v>
      </c>
      <c r="N98" s="197"/>
    </row>
    <row r="99" spans="1:14" x14ac:dyDescent="0.25">
      <c r="A99" s="1"/>
      <c r="B99" s="194" t="s">
        <v>118</v>
      </c>
      <c r="C99" s="195">
        <v>8657</v>
      </c>
      <c r="D99" s="195">
        <v>4658</v>
      </c>
      <c r="E99" s="195">
        <v>7148</v>
      </c>
      <c r="F99" s="195">
        <v>7881</v>
      </c>
      <c r="G99" s="195">
        <v>8902</v>
      </c>
      <c r="H99" s="195">
        <v>9750</v>
      </c>
      <c r="I99" s="196">
        <f t="shared" si="41"/>
        <v>9.5259492248932931E-2</v>
      </c>
      <c r="J99" s="212">
        <f t="shared" si="38"/>
        <v>0.36401790710688298</v>
      </c>
      <c r="K99" s="195">
        <f t="shared" si="39"/>
        <v>848</v>
      </c>
      <c r="L99" s="195">
        <f t="shared" si="40"/>
        <v>2602</v>
      </c>
      <c r="M99" s="196">
        <f t="shared" si="42"/>
        <v>2.7025717506467048E-4</v>
      </c>
      <c r="N99" s="103"/>
    </row>
    <row r="100" spans="1:14" x14ac:dyDescent="0.25">
      <c r="A100" s="1"/>
      <c r="B100" s="194" t="s">
        <v>125</v>
      </c>
      <c r="C100" s="195">
        <v>2390</v>
      </c>
      <c r="D100" s="195">
        <v>940</v>
      </c>
      <c r="E100" s="195">
        <v>1385</v>
      </c>
      <c r="F100" s="195">
        <v>4981</v>
      </c>
      <c r="G100" s="195">
        <v>3623</v>
      </c>
      <c r="H100" s="195">
        <v>3800</v>
      </c>
      <c r="I100" s="196">
        <f t="shared" si="41"/>
        <v>4.8854540436102711E-2</v>
      </c>
      <c r="J100" s="212">
        <f t="shared" si="38"/>
        <v>1.743682310469314</v>
      </c>
      <c r="K100" s="195">
        <f t="shared" si="39"/>
        <v>177</v>
      </c>
      <c r="L100" s="195">
        <f t="shared" si="40"/>
        <v>2415</v>
      </c>
      <c r="M100" s="196">
        <f t="shared" si="42"/>
        <v>1.0533100156366643E-4</v>
      </c>
      <c r="N100" s="103"/>
    </row>
    <row r="101" spans="1:14" x14ac:dyDescent="0.25">
      <c r="A101" s="1"/>
      <c r="B101" s="194" t="s">
        <v>121</v>
      </c>
      <c r="C101" s="195">
        <v>1298</v>
      </c>
      <c r="D101" s="195">
        <v>788</v>
      </c>
      <c r="E101" s="195">
        <v>1315</v>
      </c>
      <c r="F101" s="195">
        <v>1892</v>
      </c>
      <c r="G101" s="195">
        <v>1812</v>
      </c>
      <c r="H101" s="195">
        <v>2358</v>
      </c>
      <c r="I101" s="196">
        <f t="shared" si="41"/>
        <v>0.30132450331125837</v>
      </c>
      <c r="J101" s="212">
        <f t="shared" si="38"/>
        <v>0.79315589353612159</v>
      </c>
      <c r="K101" s="195">
        <f t="shared" si="39"/>
        <v>546</v>
      </c>
      <c r="L101" s="195">
        <f t="shared" si="40"/>
        <v>1043</v>
      </c>
      <c r="M101" s="196">
        <f t="shared" si="42"/>
        <v>6.5360658338717225E-5</v>
      </c>
      <c r="N101" s="103"/>
    </row>
    <row r="102" spans="1:14" x14ac:dyDescent="0.25">
      <c r="A102" s="1"/>
      <c r="B102" s="194" t="s">
        <v>130</v>
      </c>
      <c r="C102" s="195">
        <v>444</v>
      </c>
      <c r="D102" s="195">
        <v>599</v>
      </c>
      <c r="E102" s="195">
        <v>275</v>
      </c>
      <c r="F102" s="195">
        <v>817</v>
      </c>
      <c r="G102" s="195">
        <v>420</v>
      </c>
      <c r="H102" s="195">
        <v>782</v>
      </c>
      <c r="I102" s="196">
        <f t="shared" si="41"/>
        <v>0.86190476190476195</v>
      </c>
      <c r="J102" s="212">
        <f t="shared" si="38"/>
        <v>1.8436363636363637</v>
      </c>
      <c r="K102" s="195">
        <f t="shared" si="39"/>
        <v>362</v>
      </c>
      <c r="L102" s="195">
        <f t="shared" si="40"/>
        <v>507</v>
      </c>
      <c r="M102" s="196">
        <f t="shared" si="42"/>
        <v>2.1676011374417671E-5</v>
      </c>
      <c r="N102" s="103"/>
    </row>
    <row r="103" spans="1:14" x14ac:dyDescent="0.25">
      <c r="A103" s="193" t="s">
        <v>146</v>
      </c>
      <c r="B103" s="194" t="s">
        <v>133</v>
      </c>
      <c r="C103" s="195">
        <v>699</v>
      </c>
      <c r="D103" s="195">
        <v>259</v>
      </c>
      <c r="E103" s="195">
        <v>259</v>
      </c>
      <c r="F103" s="195">
        <v>385</v>
      </c>
      <c r="G103" s="195">
        <v>950</v>
      </c>
      <c r="H103" s="195">
        <v>1244</v>
      </c>
      <c r="I103" s="196">
        <f t="shared" si="41"/>
        <v>0.30947368421052635</v>
      </c>
      <c r="J103" s="212">
        <f t="shared" si="38"/>
        <v>3.8030888030888033</v>
      </c>
      <c r="K103" s="195">
        <f t="shared" si="39"/>
        <v>294</v>
      </c>
      <c r="L103" s="195">
        <f t="shared" si="40"/>
        <v>985</v>
      </c>
      <c r="M103" s="196">
        <f t="shared" si="42"/>
        <v>3.4482043669789748E-5</v>
      </c>
      <c r="N103" s="103"/>
    </row>
    <row r="104" spans="1:14" x14ac:dyDescent="0.25">
      <c r="A104" s="198" t="s">
        <v>147</v>
      </c>
      <c r="B104" s="199" t="s">
        <v>147</v>
      </c>
      <c r="C104" s="200">
        <f t="shared" ref="C104:H104" si="43">C96-SUM(C97:C103)</f>
        <v>20258</v>
      </c>
      <c r="D104" s="200">
        <f t="shared" si="43"/>
        <v>7511</v>
      </c>
      <c r="E104" s="200">
        <f t="shared" si="43"/>
        <v>12070</v>
      </c>
      <c r="F104" s="200">
        <f t="shared" si="43"/>
        <v>20551</v>
      </c>
      <c r="G104" s="200">
        <f t="shared" si="43"/>
        <v>26379</v>
      </c>
      <c r="H104" s="200">
        <f t="shared" si="43"/>
        <v>25954</v>
      </c>
      <c r="I104" s="201">
        <f t="shared" si="41"/>
        <v>-1.6111300655824667E-2</v>
      </c>
      <c r="J104" s="213">
        <f t="shared" si="38"/>
        <v>1.1502899751449878</v>
      </c>
      <c r="K104" s="200">
        <f>H104-G104</f>
        <v>-425</v>
      </c>
      <c r="L104" s="200">
        <f t="shared" si="40"/>
        <v>13884</v>
      </c>
      <c r="M104" s="201">
        <f t="shared" si="42"/>
        <v>7.1941074067984176E-4</v>
      </c>
      <c r="N104" s="103"/>
    </row>
    <row r="105" spans="1:14" s="177" customFormat="1" x14ac:dyDescent="0.25">
      <c r="B105" s="186" t="s">
        <v>52</v>
      </c>
      <c r="C105" s="184"/>
      <c r="D105" s="184"/>
      <c r="E105" s="184"/>
      <c r="F105" s="184"/>
      <c r="G105" s="184"/>
      <c r="H105" s="184"/>
      <c r="I105" s="184"/>
      <c r="J105" s="184"/>
      <c r="K105" s="184"/>
      <c r="L105" s="184"/>
      <c r="M105" s="184"/>
    </row>
    <row r="106" spans="1:14" x14ac:dyDescent="0.25">
      <c r="A106" s="1">
        <v>3</v>
      </c>
      <c r="B106" s="187" t="s">
        <v>70</v>
      </c>
      <c r="C106" s="209">
        <v>1055815</v>
      </c>
      <c r="D106" s="209">
        <v>442013</v>
      </c>
      <c r="E106" s="209">
        <v>749212</v>
      </c>
      <c r="F106" s="209">
        <v>1316064</v>
      </c>
      <c r="G106" s="209">
        <v>1447168</v>
      </c>
      <c r="H106" s="209">
        <v>1453294</v>
      </c>
      <c r="I106" s="210">
        <f>IFERROR(H106/G106-1,"-")</f>
        <v>4.2330952591544957E-3</v>
      </c>
      <c r="J106" s="210">
        <f>IFERROR(H106/E106-1,"-")</f>
        <v>0.9397633780558774</v>
      </c>
      <c r="K106" s="209">
        <f>H106-G106</f>
        <v>6126</v>
      </c>
      <c r="L106" s="209">
        <f>H106-E106</f>
        <v>704082</v>
      </c>
      <c r="M106" s="210">
        <f>H106/H$8</f>
        <v>4.0283398049070274E-2</v>
      </c>
      <c r="N106" s="103"/>
    </row>
    <row r="107" spans="1:14" x14ac:dyDescent="0.25">
      <c r="A107" s="1" t="s">
        <v>98</v>
      </c>
      <c r="B107" s="190" t="s">
        <v>99</v>
      </c>
      <c r="C107" s="191">
        <v>162637</v>
      </c>
      <c r="D107" s="191">
        <v>125264</v>
      </c>
      <c r="E107" s="191">
        <v>199003</v>
      </c>
      <c r="F107" s="191">
        <v>220579</v>
      </c>
      <c r="G107" s="191">
        <v>219096</v>
      </c>
      <c r="H107" s="191">
        <v>207819</v>
      </c>
      <c r="I107" s="192">
        <f>IFERROR(H107/G107-1,"-")</f>
        <v>-5.1470588235294157E-2</v>
      </c>
      <c r="J107" s="211">
        <f t="shared" ref="J107:J118" si="44">IFERROR(H107/E107-1,"-")</f>
        <v>4.4300839685833981E-2</v>
      </c>
      <c r="K107" s="191">
        <f t="shared" ref="K107:K117" si="45">H107-G107</f>
        <v>-11277</v>
      </c>
      <c r="L107" s="191">
        <f t="shared" ref="L107:L118" si="46">H107-E107</f>
        <v>8816</v>
      </c>
      <c r="M107" s="192">
        <f>H107/H$8</f>
        <v>5.7604693194630513E-3</v>
      </c>
      <c r="N107" s="103"/>
    </row>
    <row r="108" spans="1:14" x14ac:dyDescent="0.25">
      <c r="A108" s="193" t="s">
        <v>105</v>
      </c>
      <c r="B108" s="194" t="s">
        <v>105</v>
      </c>
      <c r="C108" s="195">
        <v>42419</v>
      </c>
      <c r="D108" s="195">
        <v>16702</v>
      </c>
      <c r="E108" s="195">
        <v>106031</v>
      </c>
      <c r="F108" s="195">
        <v>75504</v>
      </c>
      <c r="G108" s="195">
        <v>57419</v>
      </c>
      <c r="H108" s="195">
        <v>59079</v>
      </c>
      <c r="I108" s="196">
        <f>IFERROR(H108/G108-1,"-")</f>
        <v>2.8910291018652279E-2</v>
      </c>
      <c r="J108" s="212">
        <f t="shared" si="44"/>
        <v>-0.44281389404985338</v>
      </c>
      <c r="K108" s="195">
        <f t="shared" si="45"/>
        <v>1660</v>
      </c>
      <c r="L108" s="195">
        <f t="shared" si="46"/>
        <v>-46952</v>
      </c>
      <c r="M108" s="196">
        <f>H108/H$8</f>
        <v>1.6375921687841709E-3</v>
      </c>
      <c r="N108" s="103"/>
    </row>
    <row r="109" spans="1:14" x14ac:dyDescent="0.25">
      <c r="A109" s="193" t="s">
        <v>102</v>
      </c>
      <c r="B109" s="194" t="s">
        <v>102</v>
      </c>
      <c r="C109" s="195">
        <v>120218</v>
      </c>
      <c r="D109" s="195">
        <v>108562</v>
      </c>
      <c r="E109" s="195">
        <v>92972</v>
      </c>
      <c r="F109" s="195">
        <v>145075</v>
      </c>
      <c r="G109" s="195">
        <v>161677</v>
      </c>
      <c r="H109" s="195">
        <v>148740</v>
      </c>
      <c r="I109" s="196">
        <f>IFERROR(H109/G109-1,"-")</f>
        <v>-8.0017565887541164E-2</v>
      </c>
      <c r="J109" s="212">
        <f t="shared" si="44"/>
        <v>0.59983650991696424</v>
      </c>
      <c r="K109" s="195">
        <f t="shared" si="45"/>
        <v>-12937</v>
      </c>
      <c r="L109" s="195">
        <f t="shared" si="46"/>
        <v>55768</v>
      </c>
      <c r="M109" s="196">
        <f>H109/H$8</f>
        <v>4.1228771506788804E-3</v>
      </c>
      <c r="N109" s="103"/>
    </row>
    <row r="110" spans="1:14" x14ac:dyDescent="0.25">
      <c r="A110" s="1"/>
      <c r="B110" s="190" t="s">
        <v>109</v>
      </c>
      <c r="C110" s="191">
        <v>893178</v>
      </c>
      <c r="D110" s="191">
        <v>316749</v>
      </c>
      <c r="E110" s="191">
        <v>550209</v>
      </c>
      <c r="F110" s="191">
        <v>1095485</v>
      </c>
      <c r="G110" s="191">
        <v>1228072</v>
      </c>
      <c r="H110" s="191">
        <v>1245475</v>
      </c>
      <c r="I110" s="192">
        <f>IFERROR(H110/G110-1,"-")</f>
        <v>1.4170993231667151E-2</v>
      </c>
      <c r="J110" s="211">
        <f t="shared" si="44"/>
        <v>1.2636398168695897</v>
      </c>
      <c r="K110" s="191">
        <f t="shared" si="45"/>
        <v>17403</v>
      </c>
      <c r="L110" s="191">
        <f t="shared" si="46"/>
        <v>695266</v>
      </c>
      <c r="M110" s="192">
        <f>H110/H$8</f>
        <v>3.4522928729607223E-2</v>
      </c>
      <c r="N110" s="103"/>
    </row>
    <row r="111" spans="1:14" s="74" customFormat="1" x14ac:dyDescent="0.25">
      <c r="B111" s="194" t="s">
        <v>112</v>
      </c>
      <c r="C111" s="195">
        <v>476582</v>
      </c>
      <c r="D111" s="195">
        <v>181253</v>
      </c>
      <c r="E111" s="195">
        <v>251557</v>
      </c>
      <c r="F111" s="195">
        <v>673877</v>
      </c>
      <c r="G111" s="195">
        <v>775590</v>
      </c>
      <c r="H111" s="195">
        <v>761721</v>
      </c>
      <c r="I111" s="196">
        <f t="shared" ref="I111:I118" si="47">IFERROR(H111/G111-1,"-")</f>
        <v>-1.7881870575948589E-2</v>
      </c>
      <c r="J111" s="212">
        <f t="shared" si="44"/>
        <v>2.0280254574509953</v>
      </c>
      <c r="K111" s="195">
        <f t="shared" si="45"/>
        <v>-13869</v>
      </c>
      <c r="L111" s="195">
        <f t="shared" si="46"/>
        <v>510164</v>
      </c>
      <c r="M111" s="196">
        <f t="shared" ref="M111:M118" si="48">H111/H$8</f>
        <v>2.111390416896778E-2</v>
      </c>
      <c r="N111" s="197"/>
    </row>
    <row r="112" spans="1:14" s="74" customFormat="1" x14ac:dyDescent="0.25">
      <c r="B112" s="194" t="s">
        <v>115</v>
      </c>
      <c r="C112" s="195">
        <v>91753</v>
      </c>
      <c r="D112" s="195">
        <v>22554</v>
      </c>
      <c r="E112" s="195">
        <v>57079</v>
      </c>
      <c r="F112" s="195">
        <v>45927</v>
      </c>
      <c r="G112" s="195">
        <v>60304</v>
      </c>
      <c r="H112" s="195">
        <v>60756</v>
      </c>
      <c r="I112" s="196">
        <f t="shared" si="47"/>
        <v>7.4953568585831576E-3</v>
      </c>
      <c r="J112" s="212">
        <f t="shared" si="44"/>
        <v>6.4419488778710177E-2</v>
      </c>
      <c r="K112" s="195">
        <f t="shared" si="45"/>
        <v>452</v>
      </c>
      <c r="L112" s="195">
        <f t="shared" si="46"/>
        <v>3677</v>
      </c>
      <c r="M112" s="196">
        <f t="shared" si="48"/>
        <v>1.6840764028952942E-3</v>
      </c>
      <c r="N112" s="197"/>
    </row>
    <row r="113" spans="1:14" x14ac:dyDescent="0.25">
      <c r="A113" s="1"/>
      <c r="B113" s="194" t="s">
        <v>118</v>
      </c>
      <c r="C113" s="195">
        <v>92528</v>
      </c>
      <c r="D113" s="195">
        <v>13883</v>
      </c>
      <c r="E113" s="195">
        <v>67210</v>
      </c>
      <c r="F113" s="195">
        <v>65652</v>
      </c>
      <c r="G113" s="195">
        <v>76293</v>
      </c>
      <c r="H113" s="195">
        <v>85229</v>
      </c>
      <c r="I113" s="196">
        <f t="shared" si="47"/>
        <v>0.1171273904552188</v>
      </c>
      <c r="J113" s="212">
        <f t="shared" si="44"/>
        <v>0.26809998512126176</v>
      </c>
      <c r="K113" s="195">
        <f t="shared" si="45"/>
        <v>8936</v>
      </c>
      <c r="L113" s="195">
        <f t="shared" si="46"/>
        <v>18019</v>
      </c>
      <c r="M113" s="196">
        <f t="shared" si="48"/>
        <v>2.362435771649928E-3</v>
      </c>
      <c r="N113" s="103"/>
    </row>
    <row r="114" spans="1:14" x14ac:dyDescent="0.25">
      <c r="A114" s="1"/>
      <c r="B114" s="194" t="s">
        <v>125</v>
      </c>
      <c r="C114" s="195">
        <v>18644</v>
      </c>
      <c r="D114" s="195">
        <v>9005</v>
      </c>
      <c r="E114" s="195">
        <v>29461</v>
      </c>
      <c r="F114" s="195">
        <v>41263</v>
      </c>
      <c r="G114" s="195">
        <v>42135</v>
      </c>
      <c r="H114" s="195">
        <v>41377</v>
      </c>
      <c r="I114" s="196">
        <f t="shared" si="47"/>
        <v>-1.7989794707487849E-2</v>
      </c>
      <c r="J114" s="212">
        <f t="shared" si="44"/>
        <v>0.40446692237194926</v>
      </c>
      <c r="K114" s="195">
        <f t="shared" si="45"/>
        <v>-758</v>
      </c>
      <c r="L114" s="195">
        <f t="shared" si="46"/>
        <v>11916</v>
      </c>
      <c r="M114" s="196">
        <f t="shared" si="48"/>
        <v>1.1469160136052174E-3</v>
      </c>
      <c r="N114" s="103"/>
    </row>
    <row r="115" spans="1:14" x14ac:dyDescent="0.25">
      <c r="A115" s="1"/>
      <c r="B115" s="194" t="s">
        <v>121</v>
      </c>
      <c r="C115" s="195">
        <v>29965</v>
      </c>
      <c r="D115" s="195">
        <v>19818</v>
      </c>
      <c r="E115" s="195">
        <v>36897</v>
      </c>
      <c r="F115" s="195">
        <v>41249</v>
      </c>
      <c r="G115" s="195">
        <v>42266</v>
      </c>
      <c r="H115" s="195">
        <v>33197</v>
      </c>
      <c r="I115" s="196">
        <f t="shared" si="47"/>
        <v>-0.21456963043581134</v>
      </c>
      <c r="J115" s="212">
        <f t="shared" si="44"/>
        <v>-0.10027915548689592</v>
      </c>
      <c r="K115" s="195">
        <f t="shared" si="45"/>
        <v>-9069</v>
      </c>
      <c r="L115" s="195">
        <f t="shared" si="46"/>
        <v>-3700</v>
      </c>
      <c r="M115" s="196">
        <f t="shared" si="48"/>
        <v>9.2017717339711437E-4</v>
      </c>
      <c r="N115" s="103"/>
    </row>
    <row r="116" spans="1:14" x14ac:dyDescent="0.25">
      <c r="A116" s="1"/>
      <c r="B116" s="194" t="s">
        <v>130</v>
      </c>
      <c r="C116" s="195">
        <v>5890</v>
      </c>
      <c r="D116" s="195">
        <v>2343</v>
      </c>
      <c r="E116" s="195">
        <v>2314</v>
      </c>
      <c r="F116" s="195">
        <v>11983</v>
      </c>
      <c r="G116" s="195">
        <v>11780</v>
      </c>
      <c r="H116" s="195">
        <v>11633</v>
      </c>
      <c r="I116" s="196">
        <f t="shared" si="47"/>
        <v>-1.2478777589134071E-2</v>
      </c>
      <c r="J116" s="212">
        <f t="shared" si="44"/>
        <v>4.0272255834053583</v>
      </c>
      <c r="K116" s="195">
        <f t="shared" si="45"/>
        <v>-147</v>
      </c>
      <c r="L116" s="195">
        <f t="shared" si="46"/>
        <v>9319</v>
      </c>
      <c r="M116" s="196">
        <f t="shared" si="48"/>
        <v>3.2245145820792941E-4</v>
      </c>
      <c r="N116" s="103"/>
    </row>
    <row r="117" spans="1:14" x14ac:dyDescent="0.25">
      <c r="A117" s="193" t="s">
        <v>146</v>
      </c>
      <c r="B117" s="194" t="s">
        <v>133</v>
      </c>
      <c r="C117" s="195">
        <v>13480</v>
      </c>
      <c r="D117" s="195">
        <v>7286</v>
      </c>
      <c r="E117" s="195">
        <v>3610</v>
      </c>
      <c r="F117" s="195">
        <v>7507</v>
      </c>
      <c r="G117" s="195">
        <v>7656</v>
      </c>
      <c r="H117" s="195">
        <v>10984</v>
      </c>
      <c r="I117" s="196">
        <f t="shared" si="47"/>
        <v>0.4346917450365726</v>
      </c>
      <c r="J117" s="212">
        <f t="shared" si="44"/>
        <v>2.0426592797783933</v>
      </c>
      <c r="K117" s="195">
        <f t="shared" si="45"/>
        <v>3328</v>
      </c>
      <c r="L117" s="195">
        <f t="shared" si="46"/>
        <v>7374</v>
      </c>
      <c r="M117" s="196">
        <f t="shared" si="48"/>
        <v>3.0446203188824001E-4</v>
      </c>
      <c r="N117" s="103"/>
    </row>
    <row r="118" spans="1:14" x14ac:dyDescent="0.25">
      <c r="A118" s="198" t="s">
        <v>147</v>
      </c>
      <c r="B118" s="199" t="s">
        <v>147</v>
      </c>
      <c r="C118" s="200">
        <f t="shared" ref="C118:H118" si="49">C110-SUM(C111:C117)</f>
        <v>164336</v>
      </c>
      <c r="D118" s="200">
        <f t="shared" si="49"/>
        <v>60607</v>
      </c>
      <c r="E118" s="200">
        <f t="shared" si="49"/>
        <v>102081</v>
      </c>
      <c r="F118" s="200">
        <f t="shared" si="49"/>
        <v>208027</v>
      </c>
      <c r="G118" s="200">
        <f t="shared" si="49"/>
        <v>212048</v>
      </c>
      <c r="H118" s="200">
        <f t="shared" si="49"/>
        <v>240578</v>
      </c>
      <c r="I118" s="201">
        <f t="shared" si="47"/>
        <v>0.13454500867728059</v>
      </c>
      <c r="J118" s="213">
        <f t="shared" si="44"/>
        <v>1.3567363172382714</v>
      </c>
      <c r="K118" s="200">
        <f>H118-G118</f>
        <v>28530</v>
      </c>
      <c r="L118" s="200">
        <f t="shared" si="46"/>
        <v>138497</v>
      </c>
      <c r="M118" s="201">
        <f t="shared" si="48"/>
        <v>6.6685057089957223E-3</v>
      </c>
      <c r="N118" s="103"/>
    </row>
    <row r="119" spans="1:14" s="177" customFormat="1" x14ac:dyDescent="0.25">
      <c r="B119" s="186" t="s">
        <v>53</v>
      </c>
      <c r="C119" s="184"/>
      <c r="D119" s="184"/>
      <c r="E119" s="184"/>
      <c r="F119" s="184"/>
      <c r="G119" s="184"/>
      <c r="H119" s="184"/>
      <c r="I119" s="184"/>
      <c r="J119" s="184"/>
      <c r="K119" s="184"/>
      <c r="L119" s="184"/>
      <c r="M119" s="184"/>
    </row>
    <row r="120" spans="1:14" x14ac:dyDescent="0.25">
      <c r="A120" s="1">
        <v>3</v>
      </c>
      <c r="B120" s="187" t="s">
        <v>70</v>
      </c>
      <c r="C120" s="209">
        <v>503437</v>
      </c>
      <c r="D120" s="209">
        <v>216673</v>
      </c>
      <c r="E120" s="209">
        <v>359169</v>
      </c>
      <c r="F120" s="209">
        <v>543499</v>
      </c>
      <c r="G120" s="209">
        <v>576462</v>
      </c>
      <c r="H120" s="209">
        <v>584273</v>
      </c>
      <c r="I120" s="210">
        <f>IFERROR(H120/G120-1,"-")</f>
        <v>1.3549895743344642E-2</v>
      </c>
      <c r="J120" s="210">
        <f>IFERROR(H120/E120-1,"-")</f>
        <v>0.6267356035738052</v>
      </c>
      <c r="K120" s="209">
        <f>H120-G120</f>
        <v>7811</v>
      </c>
      <c r="L120" s="209">
        <f>H120-E120</f>
        <v>225104</v>
      </c>
      <c r="M120" s="210">
        <f>H120/H$8</f>
        <v>1.6195279020160019E-2</v>
      </c>
      <c r="N120" s="103"/>
    </row>
    <row r="121" spans="1:14" x14ac:dyDescent="0.25">
      <c r="A121" s="1" t="s">
        <v>98</v>
      </c>
      <c r="B121" s="190" t="s">
        <v>99</v>
      </c>
      <c r="C121" s="191">
        <v>235408</v>
      </c>
      <c r="D121" s="191">
        <v>116562</v>
      </c>
      <c r="E121" s="191">
        <v>206631</v>
      </c>
      <c r="F121" s="191">
        <v>271944</v>
      </c>
      <c r="G121" s="191">
        <v>302350</v>
      </c>
      <c r="H121" s="191">
        <v>308399</v>
      </c>
      <c r="I121" s="192">
        <f>IFERROR(H121/G121-1,"-")</f>
        <v>2.0006614850339055E-2</v>
      </c>
      <c r="J121" s="211">
        <f t="shared" ref="J121:J132" si="50">IFERROR(H121/E121-1,"-")</f>
        <v>0.49251080428396521</v>
      </c>
      <c r="K121" s="191">
        <f t="shared" ref="K121:K131" si="51">H121-G121</f>
        <v>6049</v>
      </c>
      <c r="L121" s="191">
        <f t="shared" ref="L121:L132" si="52">H121-E121</f>
        <v>101768</v>
      </c>
      <c r="M121" s="192">
        <f>H121/H$8</f>
        <v>8.5484146187455694E-3</v>
      </c>
      <c r="N121" s="103"/>
    </row>
    <row r="122" spans="1:14" x14ac:dyDescent="0.25">
      <c r="A122" s="193" t="s">
        <v>105</v>
      </c>
      <c r="B122" s="194" t="s">
        <v>105</v>
      </c>
      <c r="C122" s="195">
        <v>110711</v>
      </c>
      <c r="D122" s="195">
        <v>45374</v>
      </c>
      <c r="E122" s="195">
        <v>96469</v>
      </c>
      <c r="F122" s="195">
        <v>128559</v>
      </c>
      <c r="G122" s="195">
        <v>120954</v>
      </c>
      <c r="H122" s="195">
        <v>133909</v>
      </c>
      <c r="I122" s="196">
        <f>IFERROR(H122/G122-1,"-")</f>
        <v>0.10710683400300947</v>
      </c>
      <c r="J122" s="212">
        <f t="shared" si="50"/>
        <v>0.38810395049186774</v>
      </c>
      <c r="K122" s="195">
        <f t="shared" si="51"/>
        <v>12955</v>
      </c>
      <c r="L122" s="195">
        <f t="shared" si="52"/>
        <v>37440</v>
      </c>
      <c r="M122" s="196">
        <f>H122/H$8</f>
        <v>3.7117813390497392E-3</v>
      </c>
      <c r="N122" s="103"/>
    </row>
    <row r="123" spans="1:14" x14ac:dyDescent="0.25">
      <c r="A123" s="193" t="s">
        <v>102</v>
      </c>
      <c r="B123" s="194" t="s">
        <v>102</v>
      </c>
      <c r="C123" s="195">
        <v>124697</v>
      </c>
      <c r="D123" s="195">
        <v>71188</v>
      </c>
      <c r="E123" s="195">
        <v>110162</v>
      </c>
      <c r="F123" s="195">
        <v>143385</v>
      </c>
      <c r="G123" s="195">
        <v>181396</v>
      </c>
      <c r="H123" s="195">
        <v>174490</v>
      </c>
      <c r="I123" s="196">
        <f>IFERROR(H123/G123-1,"-")</f>
        <v>-3.807140179496793E-2</v>
      </c>
      <c r="J123" s="212">
        <f t="shared" si="50"/>
        <v>0.58394001561336939</v>
      </c>
      <c r="K123" s="195">
        <f t="shared" si="51"/>
        <v>-6906</v>
      </c>
      <c r="L123" s="195">
        <f t="shared" si="52"/>
        <v>64328</v>
      </c>
      <c r="M123" s="196">
        <f>H123/H$8</f>
        <v>4.8366332796958306E-3</v>
      </c>
      <c r="N123" s="103"/>
    </row>
    <row r="124" spans="1:14" x14ac:dyDescent="0.25">
      <c r="A124" s="1"/>
      <c r="B124" s="190" t="s">
        <v>109</v>
      </c>
      <c r="C124" s="191">
        <v>268029</v>
      </c>
      <c r="D124" s="191">
        <v>100111</v>
      </c>
      <c r="E124" s="191">
        <v>152538</v>
      </c>
      <c r="F124" s="191">
        <v>271555</v>
      </c>
      <c r="G124" s="191">
        <v>274112</v>
      </c>
      <c r="H124" s="191">
        <v>275874</v>
      </c>
      <c r="I124" s="192">
        <f>IFERROR(H124/G124-1,"-")</f>
        <v>6.4280294186318532E-3</v>
      </c>
      <c r="J124" s="211">
        <f t="shared" si="50"/>
        <v>0.80855917869645588</v>
      </c>
      <c r="K124" s="191">
        <f t="shared" si="51"/>
        <v>1762</v>
      </c>
      <c r="L124" s="191">
        <f t="shared" si="52"/>
        <v>123336</v>
      </c>
      <c r="M124" s="192">
        <f>H124/H$8</f>
        <v>7.6468644014144509E-3</v>
      </c>
      <c r="N124" s="103"/>
    </row>
    <row r="125" spans="1:14" s="74" customFormat="1" x14ac:dyDescent="0.25">
      <c r="B125" s="194" t="s">
        <v>112</v>
      </c>
      <c r="C125" s="195">
        <v>33000</v>
      </c>
      <c r="D125" s="195">
        <v>11431</v>
      </c>
      <c r="E125" s="195">
        <v>11117</v>
      </c>
      <c r="F125" s="195">
        <v>33351</v>
      </c>
      <c r="G125" s="195">
        <v>40267</v>
      </c>
      <c r="H125" s="195">
        <v>36521</v>
      </c>
      <c r="I125" s="196">
        <f t="shared" ref="I125:I132" si="53">IFERROR(H125/G125-1,"-")</f>
        <v>-9.3029031216628977E-2</v>
      </c>
      <c r="J125" s="212">
        <f t="shared" si="50"/>
        <v>2.2851488710983179</v>
      </c>
      <c r="K125" s="195">
        <f t="shared" si="51"/>
        <v>-3746</v>
      </c>
      <c r="L125" s="195">
        <f t="shared" si="52"/>
        <v>25404</v>
      </c>
      <c r="M125" s="196">
        <f t="shared" ref="M125:M132" si="54">H125/H$8</f>
        <v>1.0123140810807006E-3</v>
      </c>
      <c r="N125" s="197"/>
    </row>
    <row r="126" spans="1:14" s="74" customFormat="1" x14ac:dyDescent="0.25">
      <c r="B126" s="194" t="s">
        <v>115</v>
      </c>
      <c r="C126" s="195">
        <v>30865</v>
      </c>
      <c r="D126" s="195">
        <v>11548</v>
      </c>
      <c r="E126" s="195">
        <v>23428</v>
      </c>
      <c r="F126" s="195">
        <v>34791</v>
      </c>
      <c r="G126" s="195">
        <v>43445</v>
      </c>
      <c r="H126" s="195">
        <v>42161</v>
      </c>
      <c r="I126" s="196">
        <f t="shared" si="53"/>
        <v>-2.9554609276096211E-2</v>
      </c>
      <c r="J126" s="212">
        <f t="shared" si="50"/>
        <v>0.79959877070172447</v>
      </c>
      <c r="K126" s="195">
        <f t="shared" si="51"/>
        <v>-1284</v>
      </c>
      <c r="L126" s="195">
        <f t="shared" si="52"/>
        <v>18733</v>
      </c>
      <c r="M126" s="196">
        <f t="shared" si="54"/>
        <v>1.1686474623488791E-3</v>
      </c>
      <c r="N126" s="197"/>
    </row>
    <row r="127" spans="1:14" x14ac:dyDescent="0.25">
      <c r="A127" s="1"/>
      <c r="B127" s="194" t="s">
        <v>118</v>
      </c>
      <c r="C127" s="195">
        <v>20310</v>
      </c>
      <c r="D127" s="195">
        <v>7014</v>
      </c>
      <c r="E127" s="195">
        <v>18250</v>
      </c>
      <c r="F127" s="195">
        <v>23874</v>
      </c>
      <c r="G127" s="195">
        <v>26737</v>
      </c>
      <c r="H127" s="195">
        <v>26375</v>
      </c>
      <c r="I127" s="196">
        <f t="shared" si="53"/>
        <v>-1.3539290122302372E-2</v>
      </c>
      <c r="J127" s="212">
        <f t="shared" si="50"/>
        <v>0.4452054794520548</v>
      </c>
      <c r="K127" s="195">
        <f t="shared" si="51"/>
        <v>-362</v>
      </c>
      <c r="L127" s="195">
        <f t="shared" si="52"/>
        <v>8125</v>
      </c>
      <c r="M127" s="196">
        <f t="shared" si="54"/>
        <v>7.3108030690571108E-4</v>
      </c>
      <c r="N127" s="103"/>
    </row>
    <row r="128" spans="1:14" x14ac:dyDescent="0.25">
      <c r="A128" s="1"/>
      <c r="B128" s="194" t="s">
        <v>125</v>
      </c>
      <c r="C128" s="195">
        <v>4930</v>
      </c>
      <c r="D128" s="195">
        <v>1882</v>
      </c>
      <c r="E128" s="195">
        <v>3678</v>
      </c>
      <c r="F128" s="195">
        <v>6463</v>
      </c>
      <c r="G128" s="195">
        <v>7383</v>
      </c>
      <c r="H128" s="195">
        <v>7428</v>
      </c>
      <c r="I128" s="196">
        <f t="shared" si="53"/>
        <v>6.0950832994717263E-3</v>
      </c>
      <c r="J128" s="212">
        <f t="shared" si="50"/>
        <v>1.0195758564437196</v>
      </c>
      <c r="K128" s="195">
        <f t="shared" si="51"/>
        <v>45</v>
      </c>
      <c r="L128" s="195">
        <f t="shared" si="52"/>
        <v>3750</v>
      </c>
      <c r="M128" s="196">
        <f t="shared" si="54"/>
        <v>2.0589438937234587E-4</v>
      </c>
      <c r="N128" s="103"/>
    </row>
    <row r="129" spans="1:14" x14ac:dyDescent="0.25">
      <c r="A129" s="1"/>
      <c r="B129" s="194" t="s">
        <v>121</v>
      </c>
      <c r="C129" s="195">
        <v>3923</v>
      </c>
      <c r="D129" s="195">
        <v>1919</v>
      </c>
      <c r="E129" s="195">
        <v>3450</v>
      </c>
      <c r="F129" s="195">
        <v>4851</v>
      </c>
      <c r="G129" s="195">
        <v>5958</v>
      </c>
      <c r="H129" s="195">
        <v>5916</v>
      </c>
      <c r="I129" s="196">
        <f t="shared" si="53"/>
        <v>-7.0493454179254567E-3</v>
      </c>
      <c r="J129" s="212">
        <f t="shared" si="50"/>
        <v>0.71478260869565213</v>
      </c>
      <c r="K129" s="195">
        <f t="shared" si="51"/>
        <v>-42</v>
      </c>
      <c r="L129" s="195">
        <f t="shared" si="52"/>
        <v>2466</v>
      </c>
      <c r="M129" s="196">
        <f t="shared" si="54"/>
        <v>1.6398373822385542E-4</v>
      </c>
      <c r="N129" s="103"/>
    </row>
    <row r="130" spans="1:14" x14ac:dyDescent="0.25">
      <c r="A130" s="1"/>
      <c r="B130" s="194" t="s">
        <v>130</v>
      </c>
      <c r="C130" s="195">
        <v>4303</v>
      </c>
      <c r="D130" s="195">
        <v>1701</v>
      </c>
      <c r="E130" s="195">
        <v>1442</v>
      </c>
      <c r="F130" s="195">
        <v>2747</v>
      </c>
      <c r="G130" s="195">
        <v>3505</v>
      </c>
      <c r="H130" s="195">
        <v>3870</v>
      </c>
      <c r="I130" s="196">
        <f t="shared" si="53"/>
        <v>0.10413694721825961</v>
      </c>
      <c r="J130" s="212">
        <f t="shared" si="50"/>
        <v>1.6837725381414703</v>
      </c>
      <c r="K130" s="195">
        <f t="shared" si="51"/>
        <v>365</v>
      </c>
      <c r="L130" s="195">
        <f t="shared" si="52"/>
        <v>2428</v>
      </c>
      <c r="M130" s="196">
        <f t="shared" si="54"/>
        <v>1.0727130948720765E-4</v>
      </c>
      <c r="N130" s="103"/>
    </row>
    <row r="131" spans="1:14" x14ac:dyDescent="0.25">
      <c r="A131" s="193" t="s">
        <v>146</v>
      </c>
      <c r="B131" s="194" t="s">
        <v>133</v>
      </c>
      <c r="C131" s="195">
        <v>5879</v>
      </c>
      <c r="D131" s="195">
        <v>2155</v>
      </c>
      <c r="E131" s="195">
        <v>2010</v>
      </c>
      <c r="F131" s="195">
        <v>4022</v>
      </c>
      <c r="G131" s="195">
        <v>4912</v>
      </c>
      <c r="H131" s="195">
        <v>5417</v>
      </c>
      <c r="I131" s="196">
        <f t="shared" si="53"/>
        <v>0.10280944625407162</v>
      </c>
      <c r="J131" s="212">
        <f t="shared" si="50"/>
        <v>1.6950248756218906</v>
      </c>
      <c r="K131" s="195">
        <f t="shared" si="51"/>
        <v>505</v>
      </c>
      <c r="L131" s="195">
        <f t="shared" si="52"/>
        <v>3407</v>
      </c>
      <c r="M131" s="196">
        <f t="shared" si="54"/>
        <v>1.5015211459746872E-4</v>
      </c>
      <c r="N131" s="103"/>
    </row>
    <row r="132" spans="1:14" x14ac:dyDescent="0.25">
      <c r="A132" s="198" t="s">
        <v>147</v>
      </c>
      <c r="B132" s="199" t="s">
        <v>147</v>
      </c>
      <c r="C132" s="200">
        <f t="shared" ref="C132:H132" si="55">C124-SUM(C125:C131)</f>
        <v>164819</v>
      </c>
      <c r="D132" s="200">
        <f t="shared" si="55"/>
        <v>62461</v>
      </c>
      <c r="E132" s="200">
        <f t="shared" si="55"/>
        <v>89163</v>
      </c>
      <c r="F132" s="200">
        <f t="shared" si="55"/>
        <v>161456</v>
      </c>
      <c r="G132" s="200">
        <f t="shared" si="55"/>
        <v>141905</v>
      </c>
      <c r="H132" s="200">
        <f t="shared" si="55"/>
        <v>148186</v>
      </c>
      <c r="I132" s="201">
        <f t="shared" si="53"/>
        <v>4.4262006271801546E-2</v>
      </c>
      <c r="J132" s="213">
        <f t="shared" si="50"/>
        <v>0.66196740800556286</v>
      </c>
      <c r="K132" s="200">
        <f>H132-G132</f>
        <v>6281</v>
      </c>
      <c r="L132" s="200">
        <f t="shared" si="52"/>
        <v>59023</v>
      </c>
      <c r="M132" s="201">
        <f t="shared" si="54"/>
        <v>4.1075209993982828E-3</v>
      </c>
      <c r="N132" s="103"/>
    </row>
    <row r="133" spans="1:14" s="177" customFormat="1" x14ac:dyDescent="0.25">
      <c r="B133" s="186" t="s">
        <v>54</v>
      </c>
      <c r="C133" s="184"/>
      <c r="D133" s="184"/>
      <c r="E133" s="184"/>
      <c r="F133" s="184"/>
      <c r="G133" s="184"/>
      <c r="H133" s="184"/>
      <c r="I133" s="184"/>
      <c r="J133" s="184"/>
      <c r="K133" s="184"/>
      <c r="L133" s="184"/>
      <c r="M133" s="184"/>
    </row>
    <row r="134" spans="1:14" x14ac:dyDescent="0.25">
      <c r="A134" s="1">
        <v>3</v>
      </c>
      <c r="B134" s="187" t="s">
        <v>70</v>
      </c>
      <c r="C134" s="209">
        <v>1856756</v>
      </c>
      <c r="D134" s="209">
        <v>610766</v>
      </c>
      <c r="E134" s="209">
        <v>774989</v>
      </c>
      <c r="F134" s="209">
        <v>1753117</v>
      </c>
      <c r="G134" s="209">
        <v>1886738</v>
      </c>
      <c r="H134" s="209">
        <v>1988780</v>
      </c>
      <c r="I134" s="210">
        <f>IFERROR(H134/G134-1,"-")</f>
        <v>5.4083820859069931E-2</v>
      </c>
      <c r="J134" s="210">
        <f>IFERROR(H134/E134-1,"-")</f>
        <v>1.566204165478478</v>
      </c>
      <c r="K134" s="209">
        <f>H134-G134</f>
        <v>102042</v>
      </c>
      <c r="L134" s="209">
        <f>H134-E134</f>
        <v>1213791</v>
      </c>
      <c r="M134" s="210">
        <f>H134/H$8</f>
        <v>5.512636560257593E-2</v>
      </c>
      <c r="N134" s="103"/>
    </row>
    <row r="135" spans="1:14" x14ac:dyDescent="0.25">
      <c r="A135" s="1" t="s">
        <v>98</v>
      </c>
      <c r="B135" s="190" t="s">
        <v>99</v>
      </c>
      <c r="C135" s="191">
        <v>192906</v>
      </c>
      <c r="D135" s="191">
        <v>77176</v>
      </c>
      <c r="E135" s="191">
        <v>141993</v>
      </c>
      <c r="F135" s="191">
        <v>105219</v>
      </c>
      <c r="G135" s="191">
        <v>114083</v>
      </c>
      <c r="H135" s="191">
        <v>103740</v>
      </c>
      <c r="I135" s="192">
        <f>IFERROR(H135/G135-1,"-")</f>
        <v>-9.0662061832174845E-2</v>
      </c>
      <c r="J135" s="211">
        <f t="shared" ref="J135:J146" si="56">IFERROR(H135/E135-1,"-")</f>
        <v>-0.26940060425513934</v>
      </c>
      <c r="K135" s="191">
        <f t="shared" ref="K135:K145" si="57">H135-G135</f>
        <v>-10343</v>
      </c>
      <c r="L135" s="191">
        <f t="shared" ref="L135:L146" si="58">H135-E135</f>
        <v>-38253</v>
      </c>
      <c r="M135" s="192">
        <f>H135/H$8</f>
        <v>2.8755363426880938E-3</v>
      </c>
      <c r="N135" s="103"/>
    </row>
    <row r="136" spans="1:14" x14ac:dyDescent="0.25">
      <c r="A136" s="193" t="s">
        <v>105</v>
      </c>
      <c r="B136" s="194" t="s">
        <v>105</v>
      </c>
      <c r="C136" s="195">
        <v>94828</v>
      </c>
      <c r="D136" s="195">
        <v>51058</v>
      </c>
      <c r="E136" s="195">
        <v>86437</v>
      </c>
      <c r="F136" s="195">
        <v>57546</v>
      </c>
      <c r="G136" s="195">
        <v>60090</v>
      </c>
      <c r="H136" s="195">
        <v>47885</v>
      </c>
      <c r="I136" s="196">
        <f>IFERROR(H136/G136-1,"-")</f>
        <v>-0.2031119986686637</v>
      </c>
      <c r="J136" s="212">
        <f t="shared" si="56"/>
        <v>-0.44601270289343686</v>
      </c>
      <c r="K136" s="195">
        <f t="shared" si="57"/>
        <v>-12205</v>
      </c>
      <c r="L136" s="195">
        <f t="shared" si="58"/>
        <v>-38552</v>
      </c>
      <c r="M136" s="196">
        <f>H136/H$8</f>
        <v>1.3273092131253072E-3</v>
      </c>
      <c r="N136" s="103"/>
    </row>
    <row r="137" spans="1:14" x14ac:dyDescent="0.25">
      <c r="A137" s="193" t="s">
        <v>102</v>
      </c>
      <c r="B137" s="194" t="s">
        <v>102</v>
      </c>
      <c r="C137" s="195">
        <v>98078</v>
      </c>
      <c r="D137" s="195">
        <v>26118</v>
      </c>
      <c r="E137" s="195">
        <v>55556</v>
      </c>
      <c r="F137" s="195">
        <v>47673</v>
      </c>
      <c r="G137" s="195">
        <v>53993</v>
      </c>
      <c r="H137" s="195">
        <v>55855</v>
      </c>
      <c r="I137" s="196">
        <f>IFERROR(H137/G137-1,"-")</f>
        <v>3.4485951882651467E-2</v>
      </c>
      <c r="J137" s="212">
        <f t="shared" si="56"/>
        <v>5.3819569443445126E-3</v>
      </c>
      <c r="K137" s="195">
        <f t="shared" si="57"/>
        <v>1862</v>
      </c>
      <c r="L137" s="195">
        <f t="shared" si="58"/>
        <v>299</v>
      </c>
      <c r="M137" s="196">
        <f>H137/H$8</f>
        <v>1.5482271295627866E-3</v>
      </c>
      <c r="N137" s="103"/>
    </row>
    <row r="138" spans="1:14" x14ac:dyDescent="0.25">
      <c r="A138" s="1"/>
      <c r="B138" s="190" t="s">
        <v>109</v>
      </c>
      <c r="C138" s="191">
        <v>1663850</v>
      </c>
      <c r="D138" s="191">
        <v>533590</v>
      </c>
      <c r="E138" s="191">
        <v>632996</v>
      </c>
      <c r="F138" s="191">
        <v>1647898</v>
      </c>
      <c r="G138" s="191">
        <v>1772655</v>
      </c>
      <c r="H138" s="191">
        <v>1885040</v>
      </c>
      <c r="I138" s="192">
        <f>IFERROR(H138/G138-1,"-")</f>
        <v>6.3399251405377832E-2</v>
      </c>
      <c r="J138" s="211">
        <f t="shared" si="56"/>
        <v>1.9779651056246803</v>
      </c>
      <c r="K138" s="191">
        <f t="shared" si="57"/>
        <v>112385</v>
      </c>
      <c r="L138" s="191">
        <f t="shared" si="58"/>
        <v>1252044</v>
      </c>
      <c r="M138" s="192">
        <f>H138/H$8</f>
        <v>5.2250829259887839E-2</v>
      </c>
      <c r="N138" s="103"/>
    </row>
    <row r="139" spans="1:14" s="74" customFormat="1" x14ac:dyDescent="0.25">
      <c r="B139" s="194" t="s">
        <v>112</v>
      </c>
      <c r="C139" s="195">
        <v>847716</v>
      </c>
      <c r="D139" s="195">
        <v>226701</v>
      </c>
      <c r="E139" s="195">
        <v>182984</v>
      </c>
      <c r="F139" s="195">
        <v>740061</v>
      </c>
      <c r="G139" s="195">
        <v>745732</v>
      </c>
      <c r="H139" s="195">
        <v>857461</v>
      </c>
      <c r="I139" s="196">
        <f t="shared" ref="I139:I146" si="59">IFERROR(H139/G139-1,"-")</f>
        <v>0.1498246018676952</v>
      </c>
      <c r="J139" s="212">
        <f t="shared" si="56"/>
        <v>3.6859889389236216</v>
      </c>
      <c r="K139" s="195">
        <f t="shared" si="57"/>
        <v>111729</v>
      </c>
      <c r="L139" s="195">
        <f t="shared" si="58"/>
        <v>674477</v>
      </c>
      <c r="M139" s="196">
        <f t="shared" ref="M139:M146" si="60">H139/H$8</f>
        <v>2.3767691034679732E-2</v>
      </c>
      <c r="N139" s="197"/>
    </row>
    <row r="140" spans="1:14" s="74" customFormat="1" x14ac:dyDescent="0.25">
      <c r="B140" s="194" t="s">
        <v>115</v>
      </c>
      <c r="C140" s="195">
        <v>113771</v>
      </c>
      <c r="D140" s="195">
        <v>45672</v>
      </c>
      <c r="E140" s="195">
        <v>69325</v>
      </c>
      <c r="F140" s="195">
        <v>132461</v>
      </c>
      <c r="G140" s="195">
        <v>181229</v>
      </c>
      <c r="H140" s="195">
        <v>190327</v>
      </c>
      <c r="I140" s="196">
        <f t="shared" si="59"/>
        <v>5.0201678539306682E-2</v>
      </c>
      <c r="J140" s="212">
        <f t="shared" si="56"/>
        <v>1.7454309412188964</v>
      </c>
      <c r="K140" s="195">
        <f t="shared" si="57"/>
        <v>9098</v>
      </c>
      <c r="L140" s="195">
        <f t="shared" si="58"/>
        <v>121002</v>
      </c>
      <c r="M140" s="196">
        <f t="shared" si="60"/>
        <v>5.2756140880547212E-3</v>
      </c>
      <c r="N140" s="197"/>
    </row>
    <row r="141" spans="1:14" x14ac:dyDescent="0.25">
      <c r="A141" s="1"/>
      <c r="B141" s="194" t="s">
        <v>118</v>
      </c>
      <c r="C141" s="195">
        <v>132722</v>
      </c>
      <c r="D141" s="195">
        <v>42455</v>
      </c>
      <c r="E141" s="195">
        <v>94016</v>
      </c>
      <c r="F141" s="195">
        <v>171222</v>
      </c>
      <c r="G141" s="195">
        <v>162316</v>
      </c>
      <c r="H141" s="195">
        <v>166671</v>
      </c>
      <c r="I141" s="196">
        <f t="shared" si="59"/>
        <v>2.6830380245939978E-2</v>
      </c>
      <c r="J141" s="212">
        <f t="shared" si="56"/>
        <v>0.77279399251191294</v>
      </c>
      <c r="K141" s="195">
        <f t="shared" si="57"/>
        <v>4355</v>
      </c>
      <c r="L141" s="195">
        <f t="shared" si="58"/>
        <v>72655</v>
      </c>
      <c r="M141" s="196">
        <f t="shared" si="60"/>
        <v>4.6199008846362763E-3</v>
      </c>
      <c r="N141" s="103"/>
    </row>
    <row r="142" spans="1:14" x14ac:dyDescent="0.25">
      <c r="A142" s="1"/>
      <c r="B142" s="194" t="s">
        <v>125</v>
      </c>
      <c r="C142" s="195">
        <v>38846</v>
      </c>
      <c r="D142" s="195">
        <v>8958</v>
      </c>
      <c r="E142" s="195">
        <v>22357</v>
      </c>
      <c r="F142" s="195">
        <v>60881</v>
      </c>
      <c r="G142" s="195">
        <v>78552</v>
      </c>
      <c r="H142" s="195">
        <v>58930</v>
      </c>
      <c r="I142" s="196">
        <f t="shared" si="59"/>
        <v>-0.24979631327019047</v>
      </c>
      <c r="J142" s="212">
        <f t="shared" si="56"/>
        <v>1.6358634879456098</v>
      </c>
      <c r="K142" s="195">
        <f t="shared" si="57"/>
        <v>-19622</v>
      </c>
      <c r="L142" s="195">
        <f t="shared" si="58"/>
        <v>36573</v>
      </c>
      <c r="M142" s="196">
        <f t="shared" si="60"/>
        <v>1.6334620847754903E-3</v>
      </c>
      <c r="N142" s="103"/>
    </row>
    <row r="143" spans="1:14" x14ac:dyDescent="0.25">
      <c r="A143" s="1"/>
      <c r="B143" s="194" t="s">
        <v>121</v>
      </c>
      <c r="C143" s="195">
        <v>39195</v>
      </c>
      <c r="D143" s="195">
        <v>12571</v>
      </c>
      <c r="E143" s="195">
        <v>20808</v>
      </c>
      <c r="F143" s="195">
        <v>32138</v>
      </c>
      <c r="G143" s="195">
        <v>40929</v>
      </c>
      <c r="H143" s="195">
        <v>41917</v>
      </c>
      <c r="I143" s="196">
        <f t="shared" si="59"/>
        <v>2.4139363287644544E-2</v>
      </c>
      <c r="J143" s="212">
        <f t="shared" si="56"/>
        <v>1.0144655901576316</v>
      </c>
      <c r="K143" s="195">
        <f t="shared" si="57"/>
        <v>988</v>
      </c>
      <c r="L143" s="195">
        <f t="shared" si="58"/>
        <v>21109</v>
      </c>
      <c r="M143" s="196">
        <f t="shared" si="60"/>
        <v>1.1618841033011068E-3</v>
      </c>
      <c r="N143" s="103"/>
    </row>
    <row r="144" spans="1:14" x14ac:dyDescent="0.25">
      <c r="A144" s="1"/>
      <c r="B144" s="194" t="s">
        <v>130</v>
      </c>
      <c r="C144" s="195">
        <v>18681</v>
      </c>
      <c r="D144" s="195">
        <v>15372</v>
      </c>
      <c r="E144" s="195">
        <v>9958</v>
      </c>
      <c r="F144" s="195">
        <v>24691</v>
      </c>
      <c r="G144" s="195">
        <v>28155</v>
      </c>
      <c r="H144" s="195">
        <v>26591</v>
      </c>
      <c r="I144" s="196">
        <f t="shared" si="59"/>
        <v>-5.554963594388207E-2</v>
      </c>
      <c r="J144" s="212">
        <f t="shared" si="56"/>
        <v>1.6703153243623219</v>
      </c>
      <c r="K144" s="195">
        <f t="shared" si="57"/>
        <v>-1564</v>
      </c>
      <c r="L144" s="195">
        <f t="shared" si="58"/>
        <v>16633</v>
      </c>
      <c r="M144" s="196">
        <f t="shared" si="60"/>
        <v>7.3706754278406693E-4</v>
      </c>
      <c r="N144" s="103"/>
    </row>
    <row r="145" spans="1:14" x14ac:dyDescent="0.25">
      <c r="A145" s="193" t="s">
        <v>146</v>
      </c>
      <c r="B145" s="194" t="s">
        <v>133</v>
      </c>
      <c r="C145" s="195">
        <v>47882</v>
      </c>
      <c r="D145" s="195">
        <v>29519</v>
      </c>
      <c r="E145" s="195">
        <v>6358</v>
      </c>
      <c r="F145" s="195">
        <v>14264</v>
      </c>
      <c r="G145" s="195">
        <v>21375</v>
      </c>
      <c r="H145" s="195">
        <v>19097</v>
      </c>
      <c r="I145" s="196">
        <f t="shared" si="59"/>
        <v>-0.10657309941520465</v>
      </c>
      <c r="J145" s="212">
        <f t="shared" si="56"/>
        <v>2.0036174897766594</v>
      </c>
      <c r="K145" s="195">
        <f t="shared" si="57"/>
        <v>-2278</v>
      </c>
      <c r="L145" s="195">
        <f t="shared" si="58"/>
        <v>12739</v>
      </c>
      <c r="M145" s="196">
        <f t="shared" si="60"/>
        <v>5.2934372022666785E-4</v>
      </c>
      <c r="N145" s="103"/>
    </row>
    <row r="146" spans="1:14" x14ac:dyDescent="0.25">
      <c r="A146" s="198" t="s">
        <v>147</v>
      </c>
      <c r="B146" s="199" t="s">
        <v>147</v>
      </c>
      <c r="C146" s="200">
        <f t="shared" ref="C146:H146" si="61">C138-SUM(C139:C145)</f>
        <v>425037</v>
      </c>
      <c r="D146" s="200">
        <f t="shared" si="61"/>
        <v>152342</v>
      </c>
      <c r="E146" s="200">
        <f t="shared" si="61"/>
        <v>227190</v>
      </c>
      <c r="F146" s="200">
        <f t="shared" si="61"/>
        <v>472180</v>
      </c>
      <c r="G146" s="200">
        <f t="shared" si="61"/>
        <v>514367</v>
      </c>
      <c r="H146" s="200">
        <f t="shared" si="61"/>
        <v>524046</v>
      </c>
      <c r="I146" s="201">
        <f t="shared" si="59"/>
        <v>1.881730359840339E-2</v>
      </c>
      <c r="J146" s="213">
        <f t="shared" si="56"/>
        <v>1.3066420176944407</v>
      </c>
      <c r="K146" s="200">
        <f>H146-G146</f>
        <v>9679</v>
      </c>
      <c r="L146" s="200">
        <f t="shared" si="58"/>
        <v>296856</v>
      </c>
      <c r="M146" s="201">
        <f t="shared" si="60"/>
        <v>1.4525865801429774E-2</v>
      </c>
      <c r="N146" s="103"/>
    </row>
    <row r="147" spans="1:14" s="177" customFormat="1" x14ac:dyDescent="0.25">
      <c r="B147" s="186" t="s">
        <v>55</v>
      </c>
      <c r="C147" s="184"/>
      <c r="D147" s="184"/>
      <c r="E147" s="184"/>
      <c r="F147" s="184"/>
      <c r="G147" s="184"/>
      <c r="H147" s="184"/>
      <c r="I147" s="184"/>
      <c r="J147" s="184"/>
      <c r="K147" s="184"/>
      <c r="L147" s="184"/>
      <c r="M147" s="184"/>
    </row>
    <row r="148" spans="1:14" x14ac:dyDescent="0.25">
      <c r="A148" s="1">
        <v>3</v>
      </c>
      <c r="B148" s="187" t="s">
        <v>70</v>
      </c>
      <c r="C148" s="209">
        <v>721244</v>
      </c>
      <c r="D148" s="209">
        <v>235241</v>
      </c>
      <c r="E148" s="209">
        <v>320278</v>
      </c>
      <c r="F148" s="209">
        <v>622441</v>
      </c>
      <c r="G148" s="209">
        <v>781085</v>
      </c>
      <c r="H148" s="209">
        <v>735651</v>
      </c>
      <c r="I148" s="210">
        <f>IFERROR(H148/G148-1,"-")</f>
        <v>-5.8167805040424514E-2</v>
      </c>
      <c r="J148" s="210">
        <f>IFERROR(H148/E148-1,"-")</f>
        <v>1.2969139310224245</v>
      </c>
      <c r="K148" s="209">
        <f>H148-G148</f>
        <v>-45434</v>
      </c>
      <c r="L148" s="209">
        <f>H148-E148</f>
        <v>415373</v>
      </c>
      <c r="M148" s="210">
        <f>H148/H$8</f>
        <v>2.0391278060871782E-2</v>
      </c>
      <c r="N148" s="103"/>
    </row>
    <row r="149" spans="1:14" x14ac:dyDescent="0.25">
      <c r="A149" s="1" t="s">
        <v>98</v>
      </c>
      <c r="B149" s="190" t="s">
        <v>99</v>
      </c>
      <c r="C149" s="191">
        <v>261107</v>
      </c>
      <c r="D149" s="191">
        <v>90513</v>
      </c>
      <c r="E149" s="191">
        <v>118326</v>
      </c>
      <c r="F149" s="191">
        <v>251371</v>
      </c>
      <c r="G149" s="191">
        <v>299320</v>
      </c>
      <c r="H149" s="191">
        <v>274535</v>
      </c>
      <c r="I149" s="192">
        <f>IFERROR(H149/G149-1,"-")</f>
        <v>-8.2804356541494095E-2</v>
      </c>
      <c r="J149" s="211">
        <f t="shared" ref="J149:J160" si="62">IFERROR(H149/E149-1,"-")</f>
        <v>1.3201578689383568</v>
      </c>
      <c r="K149" s="191">
        <f t="shared" ref="K149:K159" si="63">H149-G149</f>
        <v>-24785</v>
      </c>
      <c r="L149" s="191">
        <f t="shared" ref="L149:L160" si="64">H149-E149</f>
        <v>156209</v>
      </c>
      <c r="M149" s="192">
        <f>H149/H$8</f>
        <v>7.6097490827055697E-3</v>
      </c>
      <c r="N149" s="103"/>
    </row>
    <row r="150" spans="1:14" x14ac:dyDescent="0.25">
      <c r="A150" s="193" t="s">
        <v>105</v>
      </c>
      <c r="B150" s="194" t="s">
        <v>105</v>
      </c>
      <c r="C150" s="195">
        <v>111386</v>
      </c>
      <c r="D150" s="195">
        <v>46140</v>
      </c>
      <c r="E150" s="195">
        <v>86621</v>
      </c>
      <c r="F150" s="195">
        <v>153781</v>
      </c>
      <c r="G150" s="195">
        <v>212501</v>
      </c>
      <c r="H150" s="195">
        <v>179525</v>
      </c>
      <c r="I150" s="196">
        <f>IFERROR(H150/G150-1,"-")</f>
        <v>-0.15518044620966487</v>
      </c>
      <c r="J150" s="212">
        <f t="shared" si="62"/>
        <v>1.0725343738816222</v>
      </c>
      <c r="K150" s="195">
        <f t="shared" si="63"/>
        <v>-32976</v>
      </c>
      <c r="L150" s="195">
        <f t="shared" si="64"/>
        <v>92904</v>
      </c>
      <c r="M150" s="196">
        <f>H150/H$8</f>
        <v>4.9761968567676885E-3</v>
      </c>
      <c r="N150" s="103"/>
    </row>
    <row r="151" spans="1:14" x14ac:dyDescent="0.25">
      <c r="A151" s="193" t="s">
        <v>102</v>
      </c>
      <c r="B151" s="194" t="s">
        <v>102</v>
      </c>
      <c r="C151" s="195">
        <v>149721</v>
      </c>
      <c r="D151" s="195">
        <v>44373</v>
      </c>
      <c r="E151" s="195">
        <v>31705</v>
      </c>
      <c r="F151" s="195">
        <v>97590</v>
      </c>
      <c r="G151" s="195">
        <v>86819</v>
      </c>
      <c r="H151" s="195">
        <v>95010</v>
      </c>
      <c r="I151" s="196">
        <f>IFERROR(H151/G151-1,"-")</f>
        <v>9.4345707736785744E-2</v>
      </c>
      <c r="J151" s="212">
        <f t="shared" si="62"/>
        <v>1.9966882195237345</v>
      </c>
      <c r="K151" s="195">
        <f t="shared" si="63"/>
        <v>8191</v>
      </c>
      <c r="L151" s="195">
        <f t="shared" si="64"/>
        <v>63305</v>
      </c>
      <c r="M151" s="196">
        <f>H151/H$8</f>
        <v>2.6335522259378812E-3</v>
      </c>
      <c r="N151" s="103"/>
    </row>
    <row r="152" spans="1:14" x14ac:dyDescent="0.25">
      <c r="A152" s="1"/>
      <c r="B152" s="190" t="s">
        <v>109</v>
      </c>
      <c r="C152" s="191">
        <v>460137</v>
      </c>
      <c r="D152" s="191">
        <v>144728</v>
      </c>
      <c r="E152" s="191">
        <v>201952</v>
      </c>
      <c r="F152" s="191">
        <v>371070</v>
      </c>
      <c r="G152" s="191">
        <v>481765</v>
      </c>
      <c r="H152" s="191">
        <v>461116</v>
      </c>
      <c r="I152" s="192">
        <f>IFERROR(H152/G152-1,"-")</f>
        <v>-4.2861145994416372E-2</v>
      </c>
      <c r="J152" s="211">
        <f t="shared" si="62"/>
        <v>1.2832950404056409</v>
      </c>
      <c r="K152" s="191">
        <f t="shared" si="63"/>
        <v>-20649</v>
      </c>
      <c r="L152" s="191">
        <f t="shared" si="64"/>
        <v>259164</v>
      </c>
      <c r="M152" s="192">
        <f>H152/H$8</f>
        <v>1.2781528978166213E-2</v>
      </c>
      <c r="N152" s="103"/>
    </row>
    <row r="153" spans="1:14" s="74" customFormat="1" x14ac:dyDescent="0.25">
      <c r="B153" s="194" t="s">
        <v>112</v>
      </c>
      <c r="C153" s="195">
        <v>120718</v>
      </c>
      <c r="D153" s="195">
        <v>31890</v>
      </c>
      <c r="E153" s="195">
        <v>39412</v>
      </c>
      <c r="F153" s="195">
        <v>136400</v>
      </c>
      <c r="G153" s="195">
        <v>179243</v>
      </c>
      <c r="H153" s="195">
        <v>146131</v>
      </c>
      <c r="I153" s="196">
        <f t="shared" ref="I153:I160" si="65">IFERROR(H153/G153-1,"-")</f>
        <v>-0.18473245817130934</v>
      </c>
      <c r="J153" s="212">
        <f t="shared" si="62"/>
        <v>2.7077793565411548</v>
      </c>
      <c r="K153" s="195">
        <f t="shared" si="63"/>
        <v>-33112</v>
      </c>
      <c r="L153" s="195">
        <f t="shared" si="64"/>
        <v>106719</v>
      </c>
      <c r="M153" s="196">
        <f t="shared" ref="M153:M160" si="66">H153/H$8</f>
        <v>4.0505591025000367E-3</v>
      </c>
      <c r="N153" s="197"/>
    </row>
    <row r="154" spans="1:14" s="74" customFormat="1" x14ac:dyDescent="0.25">
      <c r="B154" s="194" t="s">
        <v>115</v>
      </c>
      <c r="C154" s="195">
        <v>154372</v>
      </c>
      <c r="D154" s="195">
        <v>49978</v>
      </c>
      <c r="E154" s="195">
        <v>69931</v>
      </c>
      <c r="F154" s="195">
        <v>98479</v>
      </c>
      <c r="G154" s="195">
        <v>105256</v>
      </c>
      <c r="H154" s="195">
        <v>104855</v>
      </c>
      <c r="I154" s="196">
        <f t="shared" si="65"/>
        <v>-3.8097590636163581E-3</v>
      </c>
      <c r="J154" s="212">
        <f t="shared" si="62"/>
        <v>0.49940655789277999</v>
      </c>
      <c r="K154" s="195">
        <f t="shared" si="63"/>
        <v>-401</v>
      </c>
      <c r="L154" s="195">
        <f t="shared" si="64"/>
        <v>34924</v>
      </c>
      <c r="M154" s="196">
        <f t="shared" si="66"/>
        <v>2.9064426760416432E-3</v>
      </c>
      <c r="N154" s="197"/>
    </row>
    <row r="155" spans="1:14" x14ac:dyDescent="0.25">
      <c r="A155" s="1"/>
      <c r="B155" s="194" t="s">
        <v>118</v>
      </c>
      <c r="C155" s="195">
        <v>63972</v>
      </c>
      <c r="D155" s="195">
        <v>14033</v>
      </c>
      <c r="E155" s="195">
        <v>26362</v>
      </c>
      <c r="F155" s="195">
        <v>41410</v>
      </c>
      <c r="G155" s="195">
        <v>72199</v>
      </c>
      <c r="H155" s="195">
        <v>71765</v>
      </c>
      <c r="I155" s="196">
        <f t="shared" si="65"/>
        <v>-6.0111635895233606E-3</v>
      </c>
      <c r="J155" s="212">
        <f t="shared" si="62"/>
        <v>1.7222896593581671</v>
      </c>
      <c r="K155" s="195">
        <f t="shared" si="63"/>
        <v>-434</v>
      </c>
      <c r="L155" s="195">
        <f t="shared" si="64"/>
        <v>45403</v>
      </c>
      <c r="M155" s="196">
        <f t="shared" si="66"/>
        <v>1.9892314018990845E-3</v>
      </c>
      <c r="N155" s="103"/>
    </row>
    <row r="156" spans="1:14" x14ac:dyDescent="0.25">
      <c r="A156" s="1"/>
      <c r="B156" s="194" t="s">
        <v>125</v>
      </c>
      <c r="C156" s="195">
        <v>7808</v>
      </c>
      <c r="D156" s="195">
        <v>2588</v>
      </c>
      <c r="E156" s="195">
        <v>4562</v>
      </c>
      <c r="F156" s="195">
        <v>9484</v>
      </c>
      <c r="G156" s="195">
        <v>12559</v>
      </c>
      <c r="H156" s="195">
        <v>15268</v>
      </c>
      <c r="I156" s="196">
        <f t="shared" si="65"/>
        <v>0.21570188709292148</v>
      </c>
      <c r="J156" s="212">
        <f t="shared" si="62"/>
        <v>2.3467777290661989</v>
      </c>
      <c r="K156" s="195">
        <f t="shared" si="63"/>
        <v>2709</v>
      </c>
      <c r="L156" s="195">
        <f t="shared" si="64"/>
        <v>10706</v>
      </c>
      <c r="M156" s="196">
        <f t="shared" si="66"/>
        <v>4.2320887680896295E-4</v>
      </c>
      <c r="N156" s="103"/>
    </row>
    <row r="157" spans="1:14" x14ac:dyDescent="0.25">
      <c r="A157" s="1"/>
      <c r="B157" s="194" t="s">
        <v>121</v>
      </c>
      <c r="C157" s="195">
        <v>21924</v>
      </c>
      <c r="D157" s="195">
        <v>10906</v>
      </c>
      <c r="E157" s="195">
        <v>13772</v>
      </c>
      <c r="F157" s="195">
        <v>27289</v>
      </c>
      <c r="G157" s="195">
        <v>21390</v>
      </c>
      <c r="H157" s="195">
        <v>24668</v>
      </c>
      <c r="I157" s="196">
        <f t="shared" si="65"/>
        <v>0.15324918186068248</v>
      </c>
      <c r="J157" s="212">
        <f t="shared" si="62"/>
        <v>0.791170490851002</v>
      </c>
      <c r="K157" s="195">
        <f t="shared" si="63"/>
        <v>3278</v>
      </c>
      <c r="L157" s="195">
        <f t="shared" si="64"/>
        <v>10896</v>
      </c>
      <c r="M157" s="196">
        <f t="shared" si="66"/>
        <v>6.8376451225592725E-4</v>
      </c>
      <c r="N157" s="103"/>
    </row>
    <row r="158" spans="1:14" x14ac:dyDescent="0.25">
      <c r="A158" s="1"/>
      <c r="B158" s="194" t="s">
        <v>130</v>
      </c>
      <c r="C158" s="195">
        <v>2951</v>
      </c>
      <c r="D158" s="195">
        <v>2836</v>
      </c>
      <c r="E158" s="195">
        <v>1823</v>
      </c>
      <c r="F158" s="195">
        <v>2563</v>
      </c>
      <c r="G158" s="195">
        <v>4469</v>
      </c>
      <c r="H158" s="195">
        <v>3399</v>
      </c>
      <c r="I158" s="196">
        <f t="shared" si="65"/>
        <v>-0.23942716491385097</v>
      </c>
      <c r="J158" s="212">
        <f t="shared" si="62"/>
        <v>0.86450905101481079</v>
      </c>
      <c r="K158" s="195">
        <f t="shared" si="63"/>
        <v>-1070</v>
      </c>
      <c r="L158" s="195">
        <f t="shared" si="64"/>
        <v>1576</v>
      </c>
      <c r="M158" s="196">
        <f t="shared" si="66"/>
        <v>9.4215809030237421E-5</v>
      </c>
      <c r="N158" s="103"/>
    </row>
    <row r="159" spans="1:14" x14ac:dyDescent="0.25">
      <c r="A159" s="193" t="s">
        <v>146</v>
      </c>
      <c r="B159" s="194" t="s">
        <v>133</v>
      </c>
      <c r="C159" s="195">
        <v>7381</v>
      </c>
      <c r="D159" s="195">
        <v>3788</v>
      </c>
      <c r="E159" s="195">
        <v>2712</v>
      </c>
      <c r="F159" s="195">
        <v>4129</v>
      </c>
      <c r="G159" s="195">
        <v>6277</v>
      </c>
      <c r="H159" s="195">
        <v>5327</v>
      </c>
      <c r="I159" s="196">
        <f t="shared" si="65"/>
        <v>-0.15134618448303327</v>
      </c>
      <c r="J159" s="212">
        <f t="shared" si="62"/>
        <v>0.96423303834808261</v>
      </c>
      <c r="K159" s="195">
        <f t="shared" si="63"/>
        <v>-950</v>
      </c>
      <c r="L159" s="195">
        <f t="shared" si="64"/>
        <v>2615</v>
      </c>
      <c r="M159" s="196">
        <f t="shared" si="66"/>
        <v>1.4765743298148713E-4</v>
      </c>
      <c r="N159" s="103"/>
    </row>
    <row r="160" spans="1:14" x14ac:dyDescent="0.25">
      <c r="A160" s="198" t="s">
        <v>147</v>
      </c>
      <c r="B160" s="199" t="s">
        <v>147</v>
      </c>
      <c r="C160" s="200">
        <f t="shared" ref="C160:H160" si="67">C152-SUM(C153:C159)</f>
        <v>81011</v>
      </c>
      <c r="D160" s="200">
        <f t="shared" si="67"/>
        <v>28709</v>
      </c>
      <c r="E160" s="200">
        <f t="shared" si="67"/>
        <v>43378</v>
      </c>
      <c r="F160" s="200">
        <f t="shared" si="67"/>
        <v>51316</v>
      </c>
      <c r="G160" s="200">
        <f t="shared" si="67"/>
        <v>80372</v>
      </c>
      <c r="H160" s="200">
        <f t="shared" si="67"/>
        <v>89703</v>
      </c>
      <c r="I160" s="201">
        <f t="shared" si="65"/>
        <v>0.11609764594634941</v>
      </c>
      <c r="J160" s="213">
        <f t="shared" si="62"/>
        <v>1.067937664253769</v>
      </c>
      <c r="K160" s="200">
        <f>H160-G160</f>
        <v>9331</v>
      </c>
      <c r="L160" s="200">
        <f t="shared" si="64"/>
        <v>46325</v>
      </c>
      <c r="M160" s="201">
        <f t="shared" si="66"/>
        <v>2.4864491666488344E-3</v>
      </c>
      <c r="N160" s="103"/>
    </row>
    <row r="161" spans="2:16" ht="6" customHeight="1" x14ac:dyDescent="0.25">
      <c r="B161" s="202"/>
      <c r="C161" s="202"/>
      <c r="D161" s="202"/>
      <c r="E161" s="202"/>
      <c r="F161" s="202"/>
      <c r="G161" s="202"/>
      <c r="H161" s="202"/>
      <c r="I161" s="202"/>
      <c r="J161" s="202"/>
      <c r="K161" s="202"/>
      <c r="L161" s="202"/>
      <c r="M161" s="202"/>
      <c r="N161" s="202"/>
      <c r="O161" s="202"/>
      <c r="P161" s="202"/>
    </row>
    <row r="162" spans="2:16" x14ac:dyDescent="0.25">
      <c r="B162" s="131" t="s">
        <v>57</v>
      </c>
      <c r="C162" s="131"/>
      <c r="D162" s="131"/>
      <c r="E162" s="131"/>
      <c r="F162" s="131"/>
      <c r="G162" s="131"/>
      <c r="H162" s="131"/>
      <c r="I162" s="131"/>
      <c r="J162" s="131"/>
      <c r="K162" s="131"/>
      <c r="L162" s="131"/>
      <c r="M162" s="131"/>
      <c r="N162" s="131"/>
      <c r="O162" s="131"/>
      <c r="P162" s="131"/>
    </row>
  </sheetData>
  <mergeCells count="1">
    <mergeCell ref="B4:M4"/>
  </mergeCells>
  <pageMargins left="0.25" right="0.25" top="0.75" bottom="0.75" header="0.3" footer="0.3"/>
  <pageSetup paperSize="9" scale="20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B964E-ED86-4312-8D16-C8FE06DA0FE1}">
  <sheetPr>
    <tabColor theme="3" tint="0.39997558519241921"/>
  </sheetPr>
  <dimension ref="A4:A24"/>
  <sheetViews>
    <sheetView showGridLines="0" workbookViewId="0">
      <selection activeCell="G10" sqref="G10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E3F8A-2D74-4FE0-BD7B-83B901472435}">
  <sheetPr>
    <tabColor theme="8" tint="0.59999389629810485"/>
  </sheetPr>
  <dimension ref="B1:P220"/>
  <sheetViews>
    <sheetView showGridLines="0" zoomScaleNormal="100" workbookViewId="0">
      <selection activeCell="G10" sqref="G10"/>
    </sheetView>
  </sheetViews>
  <sheetFormatPr baseColWidth="10" defaultColWidth="11.42578125" defaultRowHeight="15" x14ac:dyDescent="0.25"/>
  <cols>
    <col min="2" max="2" width="11.42578125" customWidth="1"/>
    <col min="3" max="3" width="16.85546875" customWidth="1"/>
    <col min="4" max="4" width="26.85546875" customWidth="1"/>
    <col min="5" max="5" width="11.5703125" customWidth="1"/>
  </cols>
  <sheetData>
    <row r="1" spans="2:16" x14ac:dyDescent="0.25">
      <c r="D1" s="84" t="s">
        <v>42</v>
      </c>
      <c r="E1" s="84"/>
      <c r="F1" s="84"/>
      <c r="G1" s="84"/>
      <c r="H1" s="84"/>
      <c r="I1" s="84"/>
      <c r="J1" s="84"/>
      <c r="K1" s="84"/>
      <c r="L1" s="84"/>
    </row>
    <row r="2" spans="2:16" x14ac:dyDescent="0.25">
      <c r="D2" s="84"/>
      <c r="E2" s="84"/>
      <c r="F2" s="84"/>
      <c r="G2" s="84"/>
      <c r="H2" s="84"/>
      <c r="I2" s="84"/>
      <c r="J2" s="84"/>
      <c r="K2" s="84"/>
      <c r="L2" s="84"/>
    </row>
    <row r="4" spans="2:16" ht="21.75" customHeight="1" thickBot="1" x14ac:dyDescent="0.3">
      <c r="C4" s="85" t="s">
        <v>43</v>
      </c>
      <c r="D4" s="85"/>
      <c r="E4" s="85"/>
      <c r="F4" s="85"/>
      <c r="G4" s="85"/>
      <c r="H4" s="85"/>
      <c r="I4" s="85"/>
      <c r="J4" s="85"/>
      <c r="K4" s="85"/>
      <c r="L4" s="85"/>
    </row>
    <row r="5" spans="2:16" ht="7.5" customHeight="1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6" ht="45" x14ac:dyDescent="0.25">
      <c r="B6" s="4"/>
      <c r="C6" s="4"/>
      <c r="D6" s="4"/>
      <c r="E6" s="14" t="s">
        <v>228</v>
      </c>
      <c r="F6" s="14" t="s">
        <v>229</v>
      </c>
      <c r="G6" s="14" t="s">
        <v>230</v>
      </c>
      <c r="H6" s="14" t="s">
        <v>231</v>
      </c>
      <c r="I6" s="14" t="s">
        <v>232</v>
      </c>
      <c r="J6" s="15" t="str">
        <f>CONCATENATE("var. ",RIGHT(I6,2),"/",RIGHT(H6,2))</f>
        <v>var. 25/24</v>
      </c>
      <c r="K6" s="15" t="str">
        <f>CONCATENATE("dif. ",RIGHT(I6,2),"/",RIGHT(H6,2))</f>
        <v>dif. 25/24</v>
      </c>
      <c r="L6" s="15" t="str">
        <f>CONCATENATE("cuota ",I6)</f>
        <v>cuota septiembre 2025</v>
      </c>
    </row>
    <row r="7" spans="2:16" ht="15" customHeight="1" x14ac:dyDescent="0.25">
      <c r="B7" s="16" t="s">
        <v>44</v>
      </c>
      <c r="C7" s="17" t="s">
        <v>8</v>
      </c>
      <c r="D7" s="86" t="s">
        <v>45</v>
      </c>
      <c r="E7" s="87">
        <v>280035</v>
      </c>
      <c r="F7" s="87">
        <v>390968</v>
      </c>
      <c r="G7" s="87">
        <v>423998</v>
      </c>
      <c r="H7" s="87">
        <v>434954</v>
      </c>
      <c r="I7" s="87">
        <v>435535</v>
      </c>
      <c r="J7" s="88">
        <f>I7/H7-1</f>
        <v>1.3357734381107544E-3</v>
      </c>
      <c r="K7" s="87">
        <f>I7-H7</f>
        <v>581</v>
      </c>
      <c r="L7" s="88">
        <f>I7/$I$7</f>
        <v>1</v>
      </c>
      <c r="P7" s="89"/>
    </row>
    <row r="8" spans="2:16" ht="15" customHeight="1" x14ac:dyDescent="0.25">
      <c r="B8" s="22"/>
      <c r="C8" s="23"/>
      <c r="D8" s="18" t="s">
        <v>46</v>
      </c>
      <c r="E8" s="19">
        <v>105384</v>
      </c>
      <c r="F8" s="19">
        <v>140395</v>
      </c>
      <c r="G8" s="19">
        <v>153067</v>
      </c>
      <c r="H8" s="19">
        <v>148572</v>
      </c>
      <c r="I8" s="19">
        <v>143018</v>
      </c>
      <c r="J8" s="20">
        <f t="shared" ref="J8:J63" si="0">I8/H8-1</f>
        <v>-3.738254852865952E-2</v>
      </c>
      <c r="K8" s="19">
        <f t="shared" ref="K8:K50" si="1">I8-H8</f>
        <v>-5554</v>
      </c>
      <c r="L8" s="21">
        <f t="shared" ref="L8:L17" si="2">I8/$I$7</f>
        <v>0.32837315026346908</v>
      </c>
      <c r="P8" s="89"/>
    </row>
    <row r="9" spans="2:16" x14ac:dyDescent="0.25">
      <c r="B9" s="22"/>
      <c r="C9" s="23"/>
      <c r="D9" s="24" t="s">
        <v>47</v>
      </c>
      <c r="E9" s="25">
        <v>59020</v>
      </c>
      <c r="F9" s="25">
        <v>103298</v>
      </c>
      <c r="G9" s="25">
        <v>107312</v>
      </c>
      <c r="H9" s="25">
        <v>111150</v>
      </c>
      <c r="I9" s="25">
        <v>115871</v>
      </c>
      <c r="J9" s="80">
        <f t="shared" si="0"/>
        <v>4.2474134053081425E-2</v>
      </c>
      <c r="K9" s="25">
        <f t="shared" si="1"/>
        <v>4721</v>
      </c>
      <c r="L9" s="81">
        <f t="shared" si="2"/>
        <v>0.26604291273950431</v>
      </c>
      <c r="P9" s="89"/>
    </row>
    <row r="10" spans="2:16" x14ac:dyDescent="0.25">
      <c r="B10" s="22"/>
      <c r="C10" s="23"/>
      <c r="D10" s="24" t="s">
        <v>48</v>
      </c>
      <c r="E10" s="25">
        <v>2289</v>
      </c>
      <c r="F10" s="25">
        <v>3143</v>
      </c>
      <c r="G10" s="25">
        <v>3734</v>
      </c>
      <c r="H10" s="25">
        <v>3135</v>
      </c>
      <c r="I10" s="25">
        <v>3984</v>
      </c>
      <c r="J10" s="80">
        <f t="shared" si="0"/>
        <v>0.27081339712918662</v>
      </c>
      <c r="K10" s="25">
        <f t="shared" si="1"/>
        <v>849</v>
      </c>
      <c r="L10" s="81">
        <f t="shared" si="2"/>
        <v>9.1473704753923333E-3</v>
      </c>
      <c r="P10" s="89"/>
    </row>
    <row r="11" spans="2:16" x14ac:dyDescent="0.25">
      <c r="B11" s="22"/>
      <c r="C11" s="23"/>
      <c r="D11" s="24" t="s">
        <v>49</v>
      </c>
      <c r="E11" s="25">
        <v>8360</v>
      </c>
      <c r="F11" s="25">
        <v>10763</v>
      </c>
      <c r="G11" s="25">
        <v>16386</v>
      </c>
      <c r="H11" s="25">
        <v>17100</v>
      </c>
      <c r="I11" s="25">
        <v>13666</v>
      </c>
      <c r="J11" s="80">
        <f t="shared" si="0"/>
        <v>-0.20081871345029245</v>
      </c>
      <c r="K11" s="25">
        <f t="shared" si="1"/>
        <v>-3434</v>
      </c>
      <c r="L11" s="81">
        <f t="shared" si="2"/>
        <v>3.1377501234114362E-2</v>
      </c>
      <c r="P11" s="89"/>
    </row>
    <row r="12" spans="2:16" x14ac:dyDescent="0.25">
      <c r="B12" s="22"/>
      <c r="C12" s="23"/>
      <c r="D12" s="24" t="s">
        <v>50</v>
      </c>
      <c r="E12" s="25">
        <v>48518</v>
      </c>
      <c r="F12" s="25">
        <v>62173</v>
      </c>
      <c r="G12" s="25">
        <v>71851</v>
      </c>
      <c r="H12" s="25">
        <v>77584</v>
      </c>
      <c r="I12" s="25">
        <v>79102</v>
      </c>
      <c r="J12" s="80">
        <f t="shared" si="0"/>
        <v>1.9565889874200826E-2</v>
      </c>
      <c r="K12" s="25">
        <f t="shared" si="1"/>
        <v>1518</v>
      </c>
      <c r="L12" s="81">
        <f t="shared" si="2"/>
        <v>0.18162030606036253</v>
      </c>
      <c r="P12" s="89"/>
    </row>
    <row r="13" spans="2:16" x14ac:dyDescent="0.25">
      <c r="B13" s="22"/>
      <c r="C13" s="23"/>
      <c r="D13" s="24" t="s">
        <v>51</v>
      </c>
      <c r="E13" s="25">
        <v>3914</v>
      </c>
      <c r="F13" s="25">
        <v>4578</v>
      </c>
      <c r="G13" s="25">
        <v>4521</v>
      </c>
      <c r="H13" s="25">
        <v>5087</v>
      </c>
      <c r="I13" s="25">
        <v>4387</v>
      </c>
      <c r="J13" s="80">
        <f t="shared" si="0"/>
        <v>-0.13760566149007269</v>
      </c>
      <c r="K13" s="25">
        <f t="shared" si="1"/>
        <v>-700</v>
      </c>
      <c r="L13" s="81">
        <f t="shared" si="2"/>
        <v>1.0072669245870022E-2</v>
      </c>
      <c r="P13" s="89"/>
    </row>
    <row r="14" spans="2:16" x14ac:dyDescent="0.25">
      <c r="B14" s="22"/>
      <c r="C14" s="23"/>
      <c r="D14" s="24" t="s">
        <v>52</v>
      </c>
      <c r="E14" s="25">
        <v>13048</v>
      </c>
      <c r="F14" s="25">
        <v>17425</v>
      </c>
      <c r="G14" s="25">
        <v>18863</v>
      </c>
      <c r="H14" s="25">
        <v>20469</v>
      </c>
      <c r="I14" s="25">
        <v>18177</v>
      </c>
      <c r="J14" s="80">
        <f t="shared" si="0"/>
        <v>-0.11197420489520737</v>
      </c>
      <c r="K14" s="25">
        <f t="shared" si="1"/>
        <v>-2292</v>
      </c>
      <c r="L14" s="81">
        <f t="shared" si="2"/>
        <v>4.1734877793977519E-2</v>
      </c>
      <c r="P14" s="89"/>
    </row>
    <row r="15" spans="2:16" x14ac:dyDescent="0.25">
      <c r="B15" s="22"/>
      <c r="C15" s="23"/>
      <c r="D15" s="24" t="s">
        <v>53</v>
      </c>
      <c r="E15" s="25">
        <v>16473</v>
      </c>
      <c r="F15" s="25">
        <v>19959</v>
      </c>
      <c r="G15" s="25">
        <v>15933</v>
      </c>
      <c r="H15" s="25">
        <v>19577</v>
      </c>
      <c r="I15" s="25">
        <v>21810</v>
      </c>
      <c r="J15" s="80">
        <f t="shared" si="0"/>
        <v>0.11406242018695401</v>
      </c>
      <c r="K15" s="25">
        <f t="shared" si="1"/>
        <v>2233</v>
      </c>
      <c r="L15" s="81">
        <f t="shared" si="2"/>
        <v>5.0076342888631227E-2</v>
      </c>
      <c r="P15" s="89"/>
    </row>
    <row r="16" spans="2:16" x14ac:dyDescent="0.25">
      <c r="B16" s="22"/>
      <c r="C16" s="23"/>
      <c r="D16" s="24" t="s">
        <v>54</v>
      </c>
      <c r="E16" s="25">
        <v>15267</v>
      </c>
      <c r="F16" s="25">
        <v>20130</v>
      </c>
      <c r="G16" s="25">
        <v>22106</v>
      </c>
      <c r="H16" s="25">
        <v>21182</v>
      </c>
      <c r="I16" s="25">
        <v>24257</v>
      </c>
      <c r="J16" s="80">
        <f t="shared" si="0"/>
        <v>0.14517042772165056</v>
      </c>
      <c r="K16" s="25">
        <f t="shared" si="1"/>
        <v>3075</v>
      </c>
      <c r="L16" s="81">
        <f t="shared" si="2"/>
        <v>5.5694720286544139E-2</v>
      </c>
      <c r="P16" s="89"/>
    </row>
    <row r="17" spans="2:16" x14ac:dyDescent="0.25">
      <c r="B17" s="22"/>
      <c r="C17" s="28"/>
      <c r="D17" s="29" t="s">
        <v>55</v>
      </c>
      <c r="E17" s="90">
        <v>7762</v>
      </c>
      <c r="F17" s="90">
        <v>9104</v>
      </c>
      <c r="G17" s="90">
        <v>10225</v>
      </c>
      <c r="H17" s="90">
        <v>11098</v>
      </c>
      <c r="I17" s="90">
        <v>11263</v>
      </c>
      <c r="J17" s="31">
        <f t="shared" si="0"/>
        <v>1.4867543701567953E-2</v>
      </c>
      <c r="K17" s="90">
        <f t="shared" si="1"/>
        <v>165</v>
      </c>
      <c r="L17" s="58">
        <f t="shared" si="2"/>
        <v>2.5860149012134501E-2</v>
      </c>
      <c r="P17" s="89"/>
    </row>
    <row r="18" spans="2:16" x14ac:dyDescent="0.25">
      <c r="B18" s="22"/>
      <c r="C18" s="32" t="s">
        <v>18</v>
      </c>
      <c r="D18" s="86" t="s">
        <v>45</v>
      </c>
      <c r="E18" s="87">
        <v>325738</v>
      </c>
      <c r="F18" s="87">
        <v>465229</v>
      </c>
      <c r="G18" s="87">
        <v>499749</v>
      </c>
      <c r="H18" s="87">
        <v>518511</v>
      </c>
      <c r="I18" s="87">
        <v>513690</v>
      </c>
      <c r="J18" s="88">
        <f t="shared" si="0"/>
        <v>-9.2977776749191277E-3</v>
      </c>
      <c r="K18" s="87">
        <f t="shared" si="1"/>
        <v>-4821</v>
      </c>
      <c r="L18" s="88">
        <f t="shared" ref="L18:L19" si="3">I18/$I$18</f>
        <v>1</v>
      </c>
    </row>
    <row r="19" spans="2:16" x14ac:dyDescent="0.25">
      <c r="B19" s="22"/>
      <c r="C19" s="36"/>
      <c r="D19" s="33" t="s">
        <v>46</v>
      </c>
      <c r="E19" s="34">
        <v>126117</v>
      </c>
      <c r="F19" s="34">
        <v>171345</v>
      </c>
      <c r="G19" s="34">
        <v>183654</v>
      </c>
      <c r="H19" s="34">
        <v>181999</v>
      </c>
      <c r="I19" s="34">
        <v>173169</v>
      </c>
      <c r="J19" s="35">
        <f t="shared" si="0"/>
        <v>-4.8516750092033489E-2</v>
      </c>
      <c r="K19" s="34">
        <f t="shared" si="1"/>
        <v>-8830</v>
      </c>
      <c r="L19" s="21">
        <f t="shared" si="3"/>
        <v>0.33710798341412135</v>
      </c>
    </row>
    <row r="20" spans="2:16" x14ac:dyDescent="0.25">
      <c r="B20" s="22"/>
      <c r="C20" s="36"/>
      <c r="D20" s="4" t="s">
        <v>47</v>
      </c>
      <c r="E20" s="37">
        <v>68931</v>
      </c>
      <c r="F20" s="37">
        <v>125170</v>
      </c>
      <c r="G20" s="37">
        <v>128953</v>
      </c>
      <c r="H20" s="37">
        <v>134918</v>
      </c>
      <c r="I20" s="37">
        <v>139149</v>
      </c>
      <c r="J20" s="91">
        <f t="shared" si="0"/>
        <v>3.1359788908818631E-2</v>
      </c>
      <c r="K20" s="37">
        <f t="shared" si="1"/>
        <v>4231</v>
      </c>
      <c r="L20" s="81">
        <f>I20/$I$18</f>
        <v>0.27088127080534952</v>
      </c>
    </row>
    <row r="21" spans="2:16" x14ac:dyDescent="0.25">
      <c r="B21" s="22"/>
      <c r="C21" s="36"/>
      <c r="D21" s="4" t="s">
        <v>48</v>
      </c>
      <c r="E21" s="37">
        <v>2558</v>
      </c>
      <c r="F21" s="37">
        <v>3499</v>
      </c>
      <c r="G21" s="37">
        <v>4023</v>
      </c>
      <c r="H21" s="37">
        <v>3471</v>
      </c>
      <c r="I21" s="37">
        <v>4391</v>
      </c>
      <c r="J21" s="91">
        <f t="shared" si="0"/>
        <v>0.26505329876116401</v>
      </c>
      <c r="K21" s="37">
        <f t="shared" si="1"/>
        <v>920</v>
      </c>
      <c r="L21" s="81">
        <f t="shared" ref="L21:L28" si="4">I21/$I$18</f>
        <v>8.5479569390099087E-3</v>
      </c>
    </row>
    <row r="22" spans="2:16" x14ac:dyDescent="0.25">
      <c r="B22" s="22"/>
      <c r="C22" s="36"/>
      <c r="D22" s="4" t="s">
        <v>49</v>
      </c>
      <c r="E22" s="37">
        <v>9924</v>
      </c>
      <c r="F22" s="37">
        <v>13134</v>
      </c>
      <c r="G22" s="37">
        <v>18421</v>
      </c>
      <c r="H22" s="37">
        <v>19553</v>
      </c>
      <c r="I22" s="37">
        <v>15854</v>
      </c>
      <c r="J22" s="91">
        <f t="shared" si="0"/>
        <v>-0.18917813123305882</v>
      </c>
      <c r="K22" s="37">
        <f t="shared" si="1"/>
        <v>-3699</v>
      </c>
      <c r="L22" s="81">
        <f t="shared" si="4"/>
        <v>3.0862971831260098E-2</v>
      </c>
    </row>
    <row r="23" spans="2:16" x14ac:dyDescent="0.25">
      <c r="B23" s="22"/>
      <c r="C23" s="36"/>
      <c r="D23" s="4" t="s">
        <v>50</v>
      </c>
      <c r="E23" s="37">
        <v>55397</v>
      </c>
      <c r="F23" s="37">
        <v>71676</v>
      </c>
      <c r="G23" s="37">
        <v>83171</v>
      </c>
      <c r="H23" s="37">
        <v>91131</v>
      </c>
      <c r="I23" s="37">
        <v>91031</v>
      </c>
      <c r="J23" s="91">
        <f t="shared" si="0"/>
        <v>-1.0973214383689367E-3</v>
      </c>
      <c r="K23" s="37">
        <f t="shared" si="1"/>
        <v>-100</v>
      </c>
      <c r="L23" s="81">
        <f t="shared" si="4"/>
        <v>0.17720999046117308</v>
      </c>
    </row>
    <row r="24" spans="2:16" x14ac:dyDescent="0.25">
      <c r="B24" s="22"/>
      <c r="C24" s="36"/>
      <c r="D24" s="4" t="s">
        <v>51</v>
      </c>
      <c r="E24" s="37">
        <v>3996</v>
      </c>
      <c r="F24" s="37">
        <v>4766</v>
      </c>
      <c r="G24" s="37">
        <v>4736</v>
      </c>
      <c r="H24" s="37">
        <v>5250</v>
      </c>
      <c r="I24" s="37">
        <v>4564</v>
      </c>
      <c r="J24" s="91">
        <f t="shared" si="0"/>
        <v>-0.13066666666666671</v>
      </c>
      <c r="K24" s="37">
        <f t="shared" si="1"/>
        <v>-686</v>
      </c>
      <c r="L24" s="81">
        <f t="shared" si="4"/>
        <v>8.8847359302302951E-3</v>
      </c>
    </row>
    <row r="25" spans="2:16" x14ac:dyDescent="0.25">
      <c r="B25" s="22"/>
      <c r="C25" s="36"/>
      <c r="D25" s="4" t="s">
        <v>52</v>
      </c>
      <c r="E25" s="37">
        <v>15344</v>
      </c>
      <c r="F25" s="37">
        <v>20526</v>
      </c>
      <c r="G25" s="37">
        <v>22179</v>
      </c>
      <c r="H25" s="37">
        <v>24127</v>
      </c>
      <c r="I25" s="37">
        <v>21413</v>
      </c>
      <c r="J25" s="91">
        <f t="shared" si="0"/>
        <v>-0.11248808388941844</v>
      </c>
      <c r="K25" s="37">
        <f t="shared" si="1"/>
        <v>-2714</v>
      </c>
      <c r="L25" s="81">
        <f t="shared" si="4"/>
        <v>4.1684673635850412E-2</v>
      </c>
    </row>
    <row r="26" spans="2:16" x14ac:dyDescent="0.25">
      <c r="B26" s="22"/>
      <c r="C26" s="36"/>
      <c r="D26" s="4" t="s">
        <v>53</v>
      </c>
      <c r="E26" s="37">
        <v>16992</v>
      </c>
      <c r="F26" s="37">
        <v>20549</v>
      </c>
      <c r="G26" s="37">
        <v>16671</v>
      </c>
      <c r="H26" s="37">
        <v>20174</v>
      </c>
      <c r="I26" s="37">
        <v>22521</v>
      </c>
      <c r="J26" s="91">
        <f t="shared" si="0"/>
        <v>0.11633786061266971</v>
      </c>
      <c r="K26" s="37">
        <f t="shared" si="1"/>
        <v>2347</v>
      </c>
      <c r="L26" s="81">
        <f t="shared" si="4"/>
        <v>4.3841616539157857E-2</v>
      </c>
    </row>
    <row r="27" spans="2:16" x14ac:dyDescent="0.25">
      <c r="B27" s="22"/>
      <c r="C27" s="36"/>
      <c r="D27" s="4" t="s">
        <v>54</v>
      </c>
      <c r="E27" s="37">
        <v>17890</v>
      </c>
      <c r="F27" s="37">
        <v>24264</v>
      </c>
      <c r="G27" s="37">
        <v>26447</v>
      </c>
      <c r="H27" s="37">
        <v>25421</v>
      </c>
      <c r="I27" s="37">
        <v>28817</v>
      </c>
      <c r="J27" s="38">
        <f t="shared" si="0"/>
        <v>0.13359033869635351</v>
      </c>
      <c r="K27" s="37">
        <f t="shared" si="1"/>
        <v>3396</v>
      </c>
      <c r="L27" s="39">
        <f t="shared" si="4"/>
        <v>5.609803578033444E-2</v>
      </c>
    </row>
    <row r="28" spans="2:16" x14ac:dyDescent="0.25">
      <c r="B28" s="22"/>
      <c r="C28" s="40"/>
      <c r="D28" s="41" t="s">
        <v>55</v>
      </c>
      <c r="E28" s="92">
        <v>8589</v>
      </c>
      <c r="F28" s="92">
        <v>10300</v>
      </c>
      <c r="G28" s="92">
        <v>11494</v>
      </c>
      <c r="H28" s="92">
        <v>12467</v>
      </c>
      <c r="I28" s="92">
        <v>12781</v>
      </c>
      <c r="J28" s="43">
        <f t="shared" si="0"/>
        <v>2.51864923397771E-2</v>
      </c>
      <c r="K28" s="92">
        <f t="shared" si="1"/>
        <v>314</v>
      </c>
      <c r="L28" s="93">
        <f t="shared" si="4"/>
        <v>2.4880764663513015E-2</v>
      </c>
    </row>
    <row r="29" spans="2:16" x14ac:dyDescent="0.25">
      <c r="B29" s="22"/>
      <c r="C29" s="17" t="s">
        <v>21</v>
      </c>
      <c r="D29" s="86" t="s">
        <v>45</v>
      </c>
      <c r="E29" s="87">
        <v>1786950</v>
      </c>
      <c r="F29" s="87">
        <v>2570788</v>
      </c>
      <c r="G29" s="87">
        <v>2803075</v>
      </c>
      <c r="H29" s="87">
        <v>2881997</v>
      </c>
      <c r="I29" s="87">
        <v>2785219</v>
      </c>
      <c r="J29" s="88">
        <f t="shared" si="0"/>
        <v>-3.358018762684345E-2</v>
      </c>
      <c r="K29" s="87">
        <f t="shared" si="1"/>
        <v>-96778</v>
      </c>
      <c r="L29" s="88">
        <f t="shared" ref="L29:L30" si="5">I29/$I$29</f>
        <v>1</v>
      </c>
    </row>
    <row r="30" spans="2:16" x14ac:dyDescent="0.25">
      <c r="B30" s="22"/>
      <c r="C30" s="23"/>
      <c r="D30" s="18" t="s">
        <v>46</v>
      </c>
      <c r="E30" s="19">
        <v>762012</v>
      </c>
      <c r="F30" s="19">
        <v>1013730</v>
      </c>
      <c r="G30" s="19">
        <v>1102818</v>
      </c>
      <c r="H30" s="19">
        <v>1101231</v>
      </c>
      <c r="I30" s="19">
        <v>1027929</v>
      </c>
      <c r="J30" s="20">
        <f t="shared" si="0"/>
        <v>-6.6563690996711888E-2</v>
      </c>
      <c r="K30" s="19">
        <f t="shared" si="1"/>
        <v>-73302</v>
      </c>
      <c r="L30" s="21">
        <f t="shared" si="5"/>
        <v>0.36906577184774342</v>
      </c>
    </row>
    <row r="31" spans="2:16" x14ac:dyDescent="0.25">
      <c r="B31" s="22"/>
      <c r="C31" s="23"/>
      <c r="D31" s="24" t="s">
        <v>47</v>
      </c>
      <c r="E31" s="25">
        <v>422869</v>
      </c>
      <c r="F31" s="25">
        <v>748642</v>
      </c>
      <c r="G31" s="25">
        <v>799868</v>
      </c>
      <c r="H31" s="25">
        <v>807680</v>
      </c>
      <c r="I31" s="25">
        <v>815302</v>
      </c>
      <c r="J31" s="80">
        <f>I31/H31-1</f>
        <v>9.4369057052297034E-3</v>
      </c>
      <c r="K31" s="25">
        <f t="shared" si="1"/>
        <v>7622</v>
      </c>
      <c r="L31" s="81">
        <f>I31/$I$29</f>
        <v>0.29272455774572842</v>
      </c>
    </row>
    <row r="32" spans="2:16" x14ac:dyDescent="0.25">
      <c r="B32" s="22"/>
      <c r="C32" s="23"/>
      <c r="D32" s="24" t="s">
        <v>48</v>
      </c>
      <c r="E32" s="25">
        <v>12114</v>
      </c>
      <c r="F32" s="25">
        <v>13618</v>
      </c>
      <c r="G32" s="25">
        <v>13736</v>
      </c>
      <c r="H32" s="25">
        <v>17692</v>
      </c>
      <c r="I32" s="25">
        <v>16653</v>
      </c>
      <c r="J32" s="80">
        <f t="shared" ref="J32:J41" si="6">I32/H32-1</f>
        <v>-5.872710829753558E-2</v>
      </c>
      <c r="K32" s="25">
        <f t="shared" si="1"/>
        <v>-1039</v>
      </c>
      <c r="L32" s="81">
        <f t="shared" ref="L32:L39" si="7">I32/$I$29</f>
        <v>5.9790630467478501E-3</v>
      </c>
    </row>
    <row r="33" spans="2:12" x14ac:dyDescent="0.25">
      <c r="B33" s="22"/>
      <c r="C33" s="23"/>
      <c r="D33" s="24" t="s">
        <v>49</v>
      </c>
      <c r="E33" s="25">
        <v>47142</v>
      </c>
      <c r="F33" s="25">
        <v>74490</v>
      </c>
      <c r="G33" s="25">
        <v>66924</v>
      </c>
      <c r="H33" s="25">
        <v>81749</v>
      </c>
      <c r="I33" s="25">
        <v>78737</v>
      </c>
      <c r="J33" s="80">
        <f t="shared" si="6"/>
        <v>-3.6844487394341208E-2</v>
      </c>
      <c r="K33" s="25">
        <f t="shared" si="1"/>
        <v>-3012</v>
      </c>
      <c r="L33" s="81">
        <f t="shared" si="7"/>
        <v>2.8269590290745539E-2</v>
      </c>
    </row>
    <row r="34" spans="2:12" x14ac:dyDescent="0.25">
      <c r="B34" s="22"/>
      <c r="C34" s="23"/>
      <c r="D34" s="24" t="s">
        <v>50</v>
      </c>
      <c r="E34" s="25">
        <v>281990</v>
      </c>
      <c r="F34" s="25">
        <v>378277</v>
      </c>
      <c r="G34" s="25">
        <v>441114</v>
      </c>
      <c r="H34" s="25">
        <v>489204</v>
      </c>
      <c r="I34" s="25">
        <v>455849</v>
      </c>
      <c r="J34" s="80">
        <f t="shared" si="6"/>
        <v>-6.8182189843091989E-2</v>
      </c>
      <c r="K34" s="25">
        <f t="shared" si="1"/>
        <v>-33355</v>
      </c>
      <c r="L34" s="81">
        <f t="shared" si="7"/>
        <v>0.1636672017532553</v>
      </c>
    </row>
    <row r="35" spans="2:12" x14ac:dyDescent="0.25">
      <c r="B35" s="22"/>
      <c r="C35" s="23"/>
      <c r="D35" s="24" t="s">
        <v>51</v>
      </c>
      <c r="E35" s="25">
        <v>9600</v>
      </c>
      <c r="F35" s="25">
        <v>10967</v>
      </c>
      <c r="G35" s="25">
        <v>10606</v>
      </c>
      <c r="H35" s="25">
        <v>11345</v>
      </c>
      <c r="I35" s="25">
        <v>10902</v>
      </c>
      <c r="J35" s="80">
        <f t="shared" si="6"/>
        <v>-3.9048038783605077E-2</v>
      </c>
      <c r="K35" s="25">
        <f t="shared" si="1"/>
        <v>-443</v>
      </c>
      <c r="L35" s="81">
        <f t="shared" si="7"/>
        <v>3.9142343923404231E-3</v>
      </c>
    </row>
    <row r="36" spans="2:12" x14ac:dyDescent="0.25">
      <c r="B36" s="22"/>
      <c r="C36" s="23"/>
      <c r="D36" s="24" t="s">
        <v>52</v>
      </c>
      <c r="E36" s="25">
        <v>89465</v>
      </c>
      <c r="F36" s="25">
        <v>107425</v>
      </c>
      <c r="G36" s="25">
        <v>125237</v>
      </c>
      <c r="H36" s="25">
        <v>124231</v>
      </c>
      <c r="I36" s="25">
        <v>107287</v>
      </c>
      <c r="J36" s="80">
        <f t="shared" si="6"/>
        <v>-0.13639107791131033</v>
      </c>
      <c r="K36" s="25">
        <f t="shared" si="1"/>
        <v>-16944</v>
      </c>
      <c r="L36" s="81">
        <f t="shared" si="7"/>
        <v>3.8520130732987247E-2</v>
      </c>
    </row>
    <row r="37" spans="2:12" x14ac:dyDescent="0.25">
      <c r="B37" s="22"/>
      <c r="C37" s="23"/>
      <c r="D37" s="24" t="s">
        <v>53</v>
      </c>
      <c r="E37" s="25">
        <v>36202</v>
      </c>
      <c r="F37" s="25">
        <v>42224</v>
      </c>
      <c r="G37" s="25">
        <v>40151</v>
      </c>
      <c r="H37" s="25">
        <v>43154</v>
      </c>
      <c r="I37" s="25">
        <v>47691</v>
      </c>
      <c r="J37" s="80">
        <f t="shared" si="6"/>
        <v>0.10513509755758443</v>
      </c>
      <c r="K37" s="25">
        <f t="shared" si="1"/>
        <v>4537</v>
      </c>
      <c r="L37" s="81">
        <f t="shared" si="7"/>
        <v>1.7122890515970199E-2</v>
      </c>
    </row>
    <row r="38" spans="2:12" x14ac:dyDescent="0.25">
      <c r="B38" s="22"/>
      <c r="C38" s="23"/>
      <c r="D38" s="24" t="s">
        <v>54</v>
      </c>
      <c r="E38" s="25">
        <v>89027</v>
      </c>
      <c r="F38" s="25">
        <v>136089</v>
      </c>
      <c r="G38" s="25">
        <v>150809</v>
      </c>
      <c r="H38" s="25">
        <v>145872</v>
      </c>
      <c r="I38" s="25">
        <v>164231</v>
      </c>
      <c r="J38" s="26">
        <f t="shared" si="6"/>
        <v>0.12585691565207857</v>
      </c>
      <c r="K38" s="25">
        <f t="shared" si="1"/>
        <v>18359</v>
      </c>
      <c r="L38" s="27">
        <f t="shared" si="7"/>
        <v>5.8965201659187304E-2</v>
      </c>
    </row>
    <row r="39" spans="2:12" x14ac:dyDescent="0.25">
      <c r="B39" s="22"/>
      <c r="C39" s="28"/>
      <c r="D39" s="29" t="s">
        <v>55</v>
      </c>
      <c r="E39" s="90">
        <v>36529</v>
      </c>
      <c r="F39" s="90">
        <v>45326</v>
      </c>
      <c r="G39" s="90">
        <v>51812</v>
      </c>
      <c r="H39" s="90">
        <v>59839</v>
      </c>
      <c r="I39" s="90">
        <v>60638</v>
      </c>
      <c r="J39" s="31">
        <f t="shared" si="6"/>
        <v>1.3352495863901526E-2</v>
      </c>
      <c r="K39" s="90">
        <f t="shared" si="1"/>
        <v>799</v>
      </c>
      <c r="L39" s="58">
        <f t="shared" si="7"/>
        <v>2.1771358015294309E-2</v>
      </c>
    </row>
    <row r="40" spans="2:12" x14ac:dyDescent="0.25">
      <c r="B40" s="22"/>
      <c r="C40" s="94" t="s">
        <v>22</v>
      </c>
      <c r="D40" s="86" t="s">
        <v>45</v>
      </c>
      <c r="E40" s="95">
        <v>6.3811666398843006</v>
      </c>
      <c r="F40" s="95">
        <v>6.575443514558736</v>
      </c>
      <c r="G40" s="95">
        <v>6.6110571276279604</v>
      </c>
      <c r="H40" s="95">
        <v>6.625981138235308</v>
      </c>
      <c r="I40" s="95">
        <v>6.3949372610697193</v>
      </c>
      <c r="J40" s="88">
        <f t="shared" si="6"/>
        <v>-3.4869383468713377E-2</v>
      </c>
      <c r="K40" s="95">
        <f t="shared" si="1"/>
        <v>-0.23104387716558872</v>
      </c>
      <c r="L40" s="88"/>
    </row>
    <row r="41" spans="2:12" x14ac:dyDescent="0.25">
      <c r="B41" s="22"/>
      <c r="C41" s="96"/>
      <c r="D41" s="33" t="s">
        <v>46</v>
      </c>
      <c r="E41" s="44">
        <v>7.2308130266454107</v>
      </c>
      <c r="F41" s="44">
        <v>7.2205562876170806</v>
      </c>
      <c r="G41" s="44">
        <v>7.2048057386634614</v>
      </c>
      <c r="H41" s="44">
        <v>7.4121032226799128</v>
      </c>
      <c r="I41" s="44">
        <v>7.1874099763666113</v>
      </c>
      <c r="J41" s="45">
        <f t="shared" si="6"/>
        <v>-3.0314370909700017E-2</v>
      </c>
      <c r="K41" s="46">
        <f t="shared" si="1"/>
        <v>-0.22469324631330156</v>
      </c>
      <c r="L41" s="47"/>
    </row>
    <row r="42" spans="2:12" x14ac:dyDescent="0.25">
      <c r="B42" s="22"/>
      <c r="C42" s="96"/>
      <c r="D42" s="4" t="s">
        <v>47</v>
      </c>
      <c r="E42" s="48">
        <v>7.164842426296171</v>
      </c>
      <c r="F42" s="48">
        <v>7.2474007241185694</v>
      </c>
      <c r="G42" s="48">
        <v>7.4536678097510061</v>
      </c>
      <c r="H42" s="48">
        <v>7.2665766981556459</v>
      </c>
      <c r="I42" s="48">
        <v>7.0362903573801896</v>
      </c>
      <c r="J42" s="97">
        <f t="shared" si="0"/>
        <v>-3.1691173208686529E-2</v>
      </c>
      <c r="K42" s="50">
        <f t="shared" si="1"/>
        <v>-0.23028634077545629</v>
      </c>
      <c r="L42" s="98"/>
    </row>
    <row r="43" spans="2:12" x14ac:dyDescent="0.25">
      <c r="B43" s="22"/>
      <c r="C43" s="96"/>
      <c r="D43" s="4" t="s">
        <v>48</v>
      </c>
      <c r="E43" s="48">
        <v>5.2922673656618615</v>
      </c>
      <c r="F43" s="48">
        <v>4.3328030544066181</v>
      </c>
      <c r="G43" s="48">
        <v>3.6786288162828065</v>
      </c>
      <c r="H43" s="48">
        <v>5.6433811802232858</v>
      </c>
      <c r="I43" s="48">
        <v>4.1799698795180724</v>
      </c>
      <c r="J43" s="97">
        <f t="shared" si="0"/>
        <v>-0.25931462964678065</v>
      </c>
      <c r="K43" s="50">
        <f t="shared" si="1"/>
        <v>-1.4634113007052134</v>
      </c>
      <c r="L43" s="98"/>
    </row>
    <row r="44" spans="2:12" x14ac:dyDescent="0.25">
      <c r="B44" s="22"/>
      <c r="C44" s="96"/>
      <c r="D44" s="4" t="s">
        <v>49</v>
      </c>
      <c r="E44" s="48">
        <v>5.638995215311005</v>
      </c>
      <c r="F44" s="48">
        <v>6.9209328254204214</v>
      </c>
      <c r="G44" s="48">
        <v>4.0842182350787262</v>
      </c>
      <c r="H44" s="48">
        <v>4.7806432748538015</v>
      </c>
      <c r="I44" s="48">
        <v>5.7615249524367043</v>
      </c>
      <c r="J44" s="97">
        <f t="shared" si="0"/>
        <v>0.20517775980951014</v>
      </c>
      <c r="K44" s="50">
        <f t="shared" si="1"/>
        <v>0.98088167758290279</v>
      </c>
      <c r="L44" s="98"/>
    </row>
    <row r="45" spans="2:12" x14ac:dyDescent="0.25">
      <c r="B45" s="22"/>
      <c r="C45" s="96"/>
      <c r="D45" s="4" t="s">
        <v>50</v>
      </c>
      <c r="E45" s="48">
        <v>5.8120697473102769</v>
      </c>
      <c r="F45" s="48">
        <v>6.0842648738198255</v>
      </c>
      <c r="G45" s="48">
        <v>6.1392882492936769</v>
      </c>
      <c r="H45" s="48">
        <v>6.305475355743452</v>
      </c>
      <c r="I45" s="48">
        <v>5.7627999292053298</v>
      </c>
      <c r="J45" s="97">
        <f t="shared" si="0"/>
        <v>-8.606415788205668E-2</v>
      </c>
      <c r="K45" s="50">
        <f t="shared" si="1"/>
        <v>-0.54267542653812217</v>
      </c>
      <c r="L45" s="98"/>
    </row>
    <row r="46" spans="2:12" x14ac:dyDescent="0.25">
      <c r="B46" s="22"/>
      <c r="C46" s="96"/>
      <c r="D46" s="4" t="s">
        <v>51</v>
      </c>
      <c r="E46" s="48">
        <v>2.452733776188043</v>
      </c>
      <c r="F46" s="48">
        <v>2.3955875928352994</v>
      </c>
      <c r="G46" s="48">
        <v>2.3459411634594116</v>
      </c>
      <c r="H46" s="48">
        <v>2.2301946137212503</v>
      </c>
      <c r="I46" s="48">
        <v>2.4850695235924323</v>
      </c>
      <c r="J46" s="97">
        <f t="shared" si="0"/>
        <v>0.1142837079343062</v>
      </c>
      <c r="K46" s="50">
        <f t="shared" si="1"/>
        <v>0.254874909871182</v>
      </c>
      <c r="L46" s="98"/>
    </row>
    <row r="47" spans="2:12" x14ac:dyDescent="0.25">
      <c r="B47" s="22"/>
      <c r="C47" s="96"/>
      <c r="D47" s="4" t="s">
        <v>52</v>
      </c>
      <c r="E47" s="48">
        <v>6.8566063764561616</v>
      </c>
      <c r="F47" s="48">
        <v>6.1649928263988523</v>
      </c>
      <c r="G47" s="48">
        <v>6.6392938556963363</v>
      </c>
      <c r="H47" s="48">
        <v>6.0692266353998727</v>
      </c>
      <c r="I47" s="48">
        <v>5.9023491225174674</v>
      </c>
      <c r="J47" s="97">
        <f t="shared" si="0"/>
        <v>-2.7495679912340365E-2</v>
      </c>
      <c r="K47" s="50">
        <f t="shared" si="1"/>
        <v>-0.16687751288240538</v>
      </c>
      <c r="L47" s="98"/>
    </row>
    <row r="48" spans="2:12" x14ac:dyDescent="0.25">
      <c r="B48" s="22"/>
      <c r="C48" s="96"/>
      <c r="D48" s="4" t="s">
        <v>53</v>
      </c>
      <c r="E48" s="48">
        <v>2.197656771687003</v>
      </c>
      <c r="F48" s="48">
        <v>2.1155368505436143</v>
      </c>
      <c r="G48" s="48">
        <v>2.5199899579489111</v>
      </c>
      <c r="H48" s="48">
        <v>2.2043213975583593</v>
      </c>
      <c r="I48" s="48">
        <v>2.1866574965612107</v>
      </c>
      <c r="J48" s="97">
        <f t="shared" si="0"/>
        <v>-8.0133055990447843E-3</v>
      </c>
      <c r="K48" s="50">
        <f t="shared" si="1"/>
        <v>-1.7663900997148652E-2</v>
      </c>
      <c r="L48" s="98"/>
    </row>
    <row r="49" spans="2:12" x14ac:dyDescent="0.25">
      <c r="B49" s="22"/>
      <c r="C49" s="96"/>
      <c r="D49" s="4" t="s">
        <v>54</v>
      </c>
      <c r="E49" s="48">
        <v>5.8313355603589443</v>
      </c>
      <c r="F49" s="48">
        <v>6.7605067064083455</v>
      </c>
      <c r="G49" s="48">
        <v>6.8220845019451737</v>
      </c>
      <c r="H49" s="48">
        <v>6.8866018317439339</v>
      </c>
      <c r="I49" s="48">
        <v>6.7704580121202129</v>
      </c>
      <c r="J49" s="49">
        <f t="shared" si="0"/>
        <v>-1.6865185829149199E-2</v>
      </c>
      <c r="K49" s="50">
        <f t="shared" si="1"/>
        <v>-0.116143819623721</v>
      </c>
      <c r="L49" s="51"/>
    </row>
    <row r="50" spans="2:12" x14ac:dyDescent="0.25">
      <c r="B50" s="22"/>
      <c r="C50" s="99"/>
      <c r="D50" s="41" t="s">
        <v>55</v>
      </c>
      <c r="E50" s="100">
        <v>4.7061324400927598</v>
      </c>
      <c r="F50" s="100">
        <v>4.9786906854130049</v>
      </c>
      <c r="G50" s="100">
        <v>5.0671882640586796</v>
      </c>
      <c r="H50" s="100">
        <v>5.3918724094431427</v>
      </c>
      <c r="I50" s="100">
        <v>5.3838231377075383</v>
      </c>
      <c r="J50" s="83">
        <f t="shared" si="0"/>
        <v>-1.4928527836651773E-3</v>
      </c>
      <c r="K50" s="101">
        <f t="shared" si="1"/>
        <v>-8.0492717356044352E-3</v>
      </c>
      <c r="L50" s="73"/>
    </row>
    <row r="51" spans="2:12" x14ac:dyDescent="0.25">
      <c r="B51" s="22"/>
      <c r="C51" s="53" t="s">
        <v>36</v>
      </c>
      <c r="D51" s="86" t="s">
        <v>45</v>
      </c>
      <c r="E51" s="88">
        <v>0.54899999999999993</v>
      </c>
      <c r="F51" s="88">
        <v>0.68879999999999997</v>
      </c>
      <c r="G51" s="88">
        <v>18.428800000000003</v>
      </c>
      <c r="H51" s="88">
        <v>18.601900000000001</v>
      </c>
      <c r="I51" s="88">
        <v>18.190899999999999</v>
      </c>
      <c r="J51" s="88">
        <f t="shared" si="0"/>
        <v>-2.2094517226734944E-2</v>
      </c>
      <c r="K51" s="95">
        <f t="shared" ref="K51" si="8">(I51-H51)*100</f>
        <v>-41.100000000000136</v>
      </c>
      <c r="L51" s="88"/>
    </row>
    <row r="52" spans="2:12" x14ac:dyDescent="0.25">
      <c r="B52" s="22"/>
      <c r="C52" s="55"/>
      <c r="D52" s="18" t="s">
        <v>46</v>
      </c>
      <c r="E52" s="21">
        <v>0.65239999999999998</v>
      </c>
      <c r="F52" s="21">
        <v>0.76670000000000005</v>
      </c>
      <c r="G52" s="21">
        <v>0.79319999999999991</v>
      </c>
      <c r="H52" s="21">
        <v>0.7923</v>
      </c>
      <c r="I52" s="21">
        <v>0.75680000000000003</v>
      </c>
      <c r="J52" s="20">
        <f t="shared" si="0"/>
        <v>-4.4806260254953933E-2</v>
      </c>
      <c r="K52" s="54">
        <f>(I52-H52)*100</f>
        <v>-3.5499999999999976</v>
      </c>
      <c r="L52" s="21"/>
    </row>
    <row r="53" spans="2:12" x14ac:dyDescent="0.25">
      <c r="B53" s="22"/>
      <c r="C53" s="55"/>
      <c r="D53" s="24" t="s">
        <v>47</v>
      </c>
      <c r="E53" s="81">
        <v>0.41299999999999998</v>
      </c>
      <c r="F53" s="81">
        <v>0.63939999999999997</v>
      </c>
      <c r="G53" s="81">
        <v>0.6966</v>
      </c>
      <c r="H53" s="81">
        <v>0.70640000000000003</v>
      </c>
      <c r="I53" s="81">
        <v>0.73419999999999996</v>
      </c>
      <c r="J53" s="80">
        <f t="shared" si="0"/>
        <v>3.9354473386183475E-2</v>
      </c>
      <c r="K53" s="56">
        <f t="shared" ref="K53:K61" si="9">(I53-H53)*100</f>
        <v>2.7799999999999936</v>
      </c>
      <c r="L53" s="81"/>
    </row>
    <row r="54" spans="2:12" x14ac:dyDescent="0.25">
      <c r="B54" s="22"/>
      <c r="C54" s="55"/>
      <c r="D54" s="24" t="s">
        <v>48</v>
      </c>
      <c r="E54" s="81">
        <v>0.50350000000000006</v>
      </c>
      <c r="F54" s="81">
        <v>0.50549999999999995</v>
      </c>
      <c r="G54" s="81">
        <v>0.502</v>
      </c>
      <c r="H54" s="81">
        <v>0.64379999999999993</v>
      </c>
      <c r="I54" s="81">
        <v>0.61340000000000006</v>
      </c>
      <c r="J54" s="80">
        <f t="shared" si="0"/>
        <v>-4.7219633426529795E-2</v>
      </c>
      <c r="K54" s="56">
        <f t="shared" si="9"/>
        <v>-3.0399999999999872</v>
      </c>
      <c r="L54" s="81"/>
    </row>
    <row r="55" spans="2:12" x14ac:dyDescent="0.25">
      <c r="B55" s="22"/>
      <c r="C55" s="55"/>
      <c r="D55" s="24" t="s">
        <v>49</v>
      </c>
      <c r="E55" s="81">
        <v>0.36749999999999999</v>
      </c>
      <c r="F55" s="81">
        <v>0.54430000000000001</v>
      </c>
      <c r="G55" s="81">
        <v>0.52170000000000005</v>
      </c>
      <c r="H55" s="81">
        <v>0.63280000000000003</v>
      </c>
      <c r="I55" s="81">
        <v>0.56859999999999999</v>
      </c>
      <c r="J55" s="80">
        <f t="shared" si="0"/>
        <v>-0.10145385587863465</v>
      </c>
      <c r="K55" s="56">
        <f t="shared" si="9"/>
        <v>-6.4200000000000035</v>
      </c>
      <c r="L55" s="81"/>
    </row>
    <row r="56" spans="2:12" x14ac:dyDescent="0.25">
      <c r="B56" s="22"/>
      <c r="C56" s="55"/>
      <c r="D56" s="24" t="s">
        <v>50</v>
      </c>
      <c r="E56" s="81">
        <v>0.60299999999999998</v>
      </c>
      <c r="F56" s="81">
        <v>0.69769999999999999</v>
      </c>
      <c r="G56" s="81">
        <v>0.75659999999999994</v>
      </c>
      <c r="H56" s="81">
        <v>0.80830000000000002</v>
      </c>
      <c r="I56" s="81">
        <v>0.75560000000000005</v>
      </c>
      <c r="J56" s="80">
        <f t="shared" si="0"/>
        <v>-6.519856488927378E-2</v>
      </c>
      <c r="K56" s="56">
        <f t="shared" si="9"/>
        <v>-5.2699999999999969</v>
      </c>
      <c r="L56" s="81"/>
    </row>
    <row r="57" spans="2:12" x14ac:dyDescent="0.25">
      <c r="B57" s="22"/>
      <c r="C57" s="55"/>
      <c r="D57" s="24" t="s">
        <v>51</v>
      </c>
      <c r="E57" s="81">
        <v>0.51200000000000001</v>
      </c>
      <c r="F57" s="81">
        <v>0.5514</v>
      </c>
      <c r="G57" s="81">
        <v>0.53320000000000001</v>
      </c>
      <c r="H57" s="81">
        <v>0.56189999999999996</v>
      </c>
      <c r="I57" s="81">
        <v>0.54</v>
      </c>
      <c r="J57" s="80">
        <f t="shared" si="0"/>
        <v>-3.8974906567004641E-2</v>
      </c>
      <c r="K57" s="56">
        <f t="shared" si="9"/>
        <v>-2.189999999999992</v>
      </c>
      <c r="L57" s="81"/>
    </row>
    <row r="58" spans="2:12" x14ac:dyDescent="0.25">
      <c r="B58" s="22"/>
      <c r="C58" s="55"/>
      <c r="D58" s="24" t="s">
        <v>52</v>
      </c>
      <c r="E58" s="81">
        <v>0.85939999999999994</v>
      </c>
      <c r="F58" s="81">
        <v>0.74739999999999995</v>
      </c>
      <c r="G58" s="81">
        <v>0.87129999999999996</v>
      </c>
      <c r="H58" s="81">
        <v>0.86329999999999996</v>
      </c>
      <c r="I58" s="81">
        <v>0.77159999999999995</v>
      </c>
      <c r="J58" s="80">
        <f t="shared" si="0"/>
        <v>-0.10622031738677173</v>
      </c>
      <c r="K58" s="56">
        <f t="shared" si="9"/>
        <v>-9.17</v>
      </c>
      <c r="L58" s="81"/>
    </row>
    <row r="59" spans="2:12" x14ac:dyDescent="0.25">
      <c r="B59" s="22"/>
      <c r="C59" s="55"/>
      <c r="D59" s="24" t="s">
        <v>53</v>
      </c>
      <c r="E59" s="81">
        <v>0.48560000000000003</v>
      </c>
      <c r="F59" s="81">
        <v>0.498</v>
      </c>
      <c r="G59" s="81">
        <v>0.48670000000000002</v>
      </c>
      <c r="H59" s="81">
        <v>0.57379999999999998</v>
      </c>
      <c r="I59" s="81">
        <v>0.5696</v>
      </c>
      <c r="J59" s="80">
        <f t="shared" si="0"/>
        <v>-7.319623562216715E-3</v>
      </c>
      <c r="K59" s="56">
        <f t="shared" si="9"/>
        <v>-0.41999999999999815</v>
      </c>
      <c r="L59" s="81"/>
    </row>
    <row r="60" spans="2:12" x14ac:dyDescent="0.25">
      <c r="B60" s="22"/>
      <c r="C60" s="55"/>
      <c r="D60" s="24" t="s">
        <v>54</v>
      </c>
      <c r="E60" s="27">
        <v>0.5484</v>
      </c>
      <c r="F60" s="27">
        <v>0.70709999999999995</v>
      </c>
      <c r="G60" s="27">
        <v>0.78359999999999996</v>
      </c>
      <c r="H60" s="27">
        <v>0.75800000000000001</v>
      </c>
      <c r="I60" s="27">
        <v>0.84260000000000002</v>
      </c>
      <c r="J60" s="26">
        <f t="shared" si="0"/>
        <v>0.11160949868073877</v>
      </c>
      <c r="K60" s="56">
        <f t="shared" si="9"/>
        <v>8.4600000000000009</v>
      </c>
      <c r="L60" s="27"/>
    </row>
    <row r="61" spans="2:12" x14ac:dyDescent="0.25">
      <c r="B61" s="22"/>
      <c r="C61" s="57"/>
      <c r="D61" s="29" t="s">
        <v>55</v>
      </c>
      <c r="E61" s="58">
        <v>0.43780000000000002</v>
      </c>
      <c r="F61" s="58">
        <v>0.4904</v>
      </c>
      <c r="G61" s="58">
        <v>0.56479999999999997</v>
      </c>
      <c r="H61" s="58">
        <v>0.64069999999999994</v>
      </c>
      <c r="I61" s="58">
        <v>0.6493000000000001</v>
      </c>
      <c r="J61" s="31">
        <f t="shared" si="0"/>
        <v>1.3422818791946511E-2</v>
      </c>
      <c r="K61" s="102">
        <f t="shared" si="9"/>
        <v>0.86000000000001631</v>
      </c>
      <c r="L61" s="58"/>
    </row>
    <row r="62" spans="2:12" x14ac:dyDescent="0.25">
      <c r="B62" s="22"/>
      <c r="C62" s="59" t="s">
        <v>56</v>
      </c>
      <c r="D62" s="86" t="s">
        <v>45</v>
      </c>
      <c r="E62" s="87">
        <v>108506</v>
      </c>
      <c r="F62" s="87">
        <v>124412</v>
      </c>
      <c r="G62" s="87">
        <v>126917</v>
      </c>
      <c r="H62" s="87">
        <v>127349</v>
      </c>
      <c r="I62" s="87">
        <v>125629</v>
      </c>
      <c r="J62" s="88">
        <f t="shared" si="0"/>
        <v>-1.3506191646577514E-2</v>
      </c>
      <c r="K62" s="87">
        <f t="shared" ref="K62:K63" si="10">I62-H62</f>
        <v>-1720</v>
      </c>
      <c r="L62" s="88">
        <f t="shared" ref="L62:L63" si="11">I62/$I$62</f>
        <v>1</v>
      </c>
    </row>
    <row r="63" spans="2:12" x14ac:dyDescent="0.25">
      <c r="B63" s="22"/>
      <c r="C63" s="60"/>
      <c r="D63" s="33" t="s">
        <v>46</v>
      </c>
      <c r="E63" s="34">
        <v>38935</v>
      </c>
      <c r="F63" s="34">
        <v>44073</v>
      </c>
      <c r="G63" s="34">
        <v>46343</v>
      </c>
      <c r="H63" s="34">
        <v>46333</v>
      </c>
      <c r="I63" s="34">
        <v>45273</v>
      </c>
      <c r="J63" s="45">
        <f t="shared" si="0"/>
        <v>-2.2877862430664919E-2</v>
      </c>
      <c r="K63" s="34">
        <f t="shared" si="10"/>
        <v>-1060</v>
      </c>
      <c r="L63" s="47">
        <f t="shared" si="11"/>
        <v>0.36037061506499296</v>
      </c>
    </row>
    <row r="64" spans="2:12" x14ac:dyDescent="0.25">
      <c r="B64" s="22"/>
      <c r="C64" s="60"/>
      <c r="D64" s="4" t="s">
        <v>47</v>
      </c>
      <c r="E64" s="37">
        <v>34133</v>
      </c>
      <c r="F64" s="37">
        <v>39030</v>
      </c>
      <c r="G64" s="37">
        <v>38275</v>
      </c>
      <c r="H64" s="37">
        <v>38115</v>
      </c>
      <c r="I64" s="37">
        <v>37015</v>
      </c>
      <c r="J64" s="97">
        <f>I64/H64-1</f>
        <v>-2.8860028860028808E-2</v>
      </c>
      <c r="K64" s="37">
        <f>I64-H64</f>
        <v>-1100</v>
      </c>
      <c r="L64" s="98">
        <f>I64/$I$62</f>
        <v>0.29463738468028877</v>
      </c>
    </row>
    <row r="65" spans="2:12" x14ac:dyDescent="0.25">
      <c r="B65" s="22"/>
      <c r="C65" s="60"/>
      <c r="D65" s="4" t="s">
        <v>48</v>
      </c>
      <c r="E65" s="37">
        <v>802</v>
      </c>
      <c r="F65" s="37">
        <v>898</v>
      </c>
      <c r="G65" s="37">
        <v>912</v>
      </c>
      <c r="H65" s="37">
        <v>916</v>
      </c>
      <c r="I65" s="37">
        <v>905</v>
      </c>
      <c r="J65" s="97">
        <f t="shared" ref="J65:J72" si="12">I65/H65-1</f>
        <v>-1.2008733624454093E-2</v>
      </c>
      <c r="K65" s="37">
        <f t="shared" ref="K65:K72" si="13">I65-H65</f>
        <v>-11</v>
      </c>
      <c r="L65" s="98">
        <f t="shared" ref="L65:L72" si="14">I65/$I$62</f>
        <v>7.2037507263450319E-3</v>
      </c>
    </row>
    <row r="66" spans="2:12" x14ac:dyDescent="0.25">
      <c r="B66" s="22"/>
      <c r="C66" s="60"/>
      <c r="D66" s="4" t="s">
        <v>49</v>
      </c>
      <c r="E66" s="37">
        <v>4276</v>
      </c>
      <c r="F66" s="37">
        <v>4562</v>
      </c>
      <c r="G66" s="37">
        <v>4276</v>
      </c>
      <c r="H66" s="37">
        <v>4306</v>
      </c>
      <c r="I66" s="37">
        <v>4616</v>
      </c>
      <c r="J66" s="97">
        <f t="shared" si="12"/>
        <v>7.199256850905722E-2</v>
      </c>
      <c r="K66" s="37">
        <f t="shared" si="13"/>
        <v>310</v>
      </c>
      <c r="L66" s="98">
        <f t="shared" si="14"/>
        <v>3.6743108677136649E-2</v>
      </c>
    </row>
    <row r="67" spans="2:12" x14ac:dyDescent="0.25">
      <c r="B67" s="22"/>
      <c r="C67" s="60"/>
      <c r="D67" s="4" t="s">
        <v>50</v>
      </c>
      <c r="E67" s="37">
        <v>15588</v>
      </c>
      <c r="F67" s="37">
        <v>18073</v>
      </c>
      <c r="G67" s="37">
        <v>19434</v>
      </c>
      <c r="H67" s="37">
        <v>20174</v>
      </c>
      <c r="I67" s="37">
        <v>20111</v>
      </c>
      <c r="J67" s="97">
        <f t="shared" si="12"/>
        <v>-3.1228313671062269E-3</v>
      </c>
      <c r="K67" s="37">
        <f t="shared" si="13"/>
        <v>-63</v>
      </c>
      <c r="L67" s="98">
        <f t="shared" si="14"/>
        <v>0.16008246503593915</v>
      </c>
    </row>
    <row r="68" spans="2:12" x14ac:dyDescent="0.25">
      <c r="B68" s="22"/>
      <c r="C68" s="60"/>
      <c r="D68" s="4" t="s">
        <v>51</v>
      </c>
      <c r="E68" s="37">
        <v>625</v>
      </c>
      <c r="F68" s="37">
        <v>663</v>
      </c>
      <c r="G68" s="37">
        <v>663</v>
      </c>
      <c r="H68" s="37">
        <v>673</v>
      </c>
      <c r="I68" s="37">
        <v>673</v>
      </c>
      <c r="J68" s="97">
        <f t="shared" si="12"/>
        <v>0</v>
      </c>
      <c r="K68" s="37">
        <f t="shared" si="13"/>
        <v>0</v>
      </c>
      <c r="L68" s="98">
        <f t="shared" si="14"/>
        <v>5.3570433578234329E-3</v>
      </c>
    </row>
    <row r="69" spans="2:12" x14ac:dyDescent="0.25">
      <c r="B69" s="22"/>
      <c r="C69" s="60"/>
      <c r="D69" s="4" t="s">
        <v>52</v>
      </c>
      <c r="E69" s="37">
        <v>3470</v>
      </c>
      <c r="F69" s="37">
        <v>4791</v>
      </c>
      <c r="G69" s="37">
        <v>4791</v>
      </c>
      <c r="H69" s="37">
        <v>4797</v>
      </c>
      <c r="I69" s="37">
        <v>4635</v>
      </c>
      <c r="J69" s="97">
        <f t="shared" si="12"/>
        <v>-3.3771106941838602E-2</v>
      </c>
      <c r="K69" s="37">
        <f t="shared" si="13"/>
        <v>-162</v>
      </c>
      <c r="L69" s="98">
        <f t="shared" si="14"/>
        <v>3.6894347642662126E-2</v>
      </c>
    </row>
    <row r="70" spans="2:12" x14ac:dyDescent="0.25">
      <c r="B70" s="22"/>
      <c r="C70" s="60"/>
      <c r="D70" s="4" t="s">
        <v>53</v>
      </c>
      <c r="E70" s="37">
        <v>2485</v>
      </c>
      <c r="F70" s="37">
        <v>2826</v>
      </c>
      <c r="G70" s="37">
        <v>2750</v>
      </c>
      <c r="H70" s="37">
        <v>2507</v>
      </c>
      <c r="I70" s="37">
        <v>2791</v>
      </c>
      <c r="J70" s="97">
        <f t="shared" si="12"/>
        <v>0.1132828081372157</v>
      </c>
      <c r="K70" s="37">
        <f t="shared" si="13"/>
        <v>284</v>
      </c>
      <c r="L70" s="98">
        <f t="shared" si="14"/>
        <v>2.2216208041136998E-2</v>
      </c>
    </row>
    <row r="71" spans="2:12" x14ac:dyDescent="0.25">
      <c r="B71" s="22"/>
      <c r="C71" s="60"/>
      <c r="D71" s="4" t="s">
        <v>54</v>
      </c>
      <c r="E71" s="37">
        <v>5411</v>
      </c>
      <c r="F71" s="37">
        <v>6415</v>
      </c>
      <c r="G71" s="37">
        <v>6415</v>
      </c>
      <c r="H71" s="37">
        <v>6415</v>
      </c>
      <c r="I71" s="37">
        <v>6497</v>
      </c>
      <c r="J71" s="49">
        <f t="shared" si="12"/>
        <v>1.278254091971931E-2</v>
      </c>
      <c r="K71" s="37">
        <f t="shared" si="13"/>
        <v>82</v>
      </c>
      <c r="L71" s="51">
        <f t="shared" si="14"/>
        <v>5.1715766264158754E-2</v>
      </c>
    </row>
    <row r="72" spans="2:12" x14ac:dyDescent="0.25">
      <c r="B72" s="61"/>
      <c r="C72" s="62"/>
      <c r="D72" s="41" t="s">
        <v>55</v>
      </c>
      <c r="E72" s="92">
        <v>2781</v>
      </c>
      <c r="F72" s="92">
        <v>3081</v>
      </c>
      <c r="G72" s="92">
        <v>3058</v>
      </c>
      <c r="H72" s="92">
        <v>3113</v>
      </c>
      <c r="I72" s="92">
        <v>3113</v>
      </c>
      <c r="J72" s="83">
        <f t="shared" si="12"/>
        <v>0</v>
      </c>
      <c r="K72" s="92">
        <f t="shared" si="13"/>
        <v>0</v>
      </c>
      <c r="L72" s="73">
        <f t="shared" si="14"/>
        <v>2.4779310509516116E-2</v>
      </c>
    </row>
    <row r="73" spans="2:12" ht="7.5" customHeight="1" x14ac:dyDescent="0.25"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4"/>
    </row>
    <row r="74" spans="2:12" x14ac:dyDescent="0.25">
      <c r="B74" s="66" t="s">
        <v>57</v>
      </c>
      <c r="C74" s="66"/>
      <c r="D74" s="66"/>
      <c r="E74" s="66"/>
      <c r="F74" s="66"/>
      <c r="G74" s="66"/>
      <c r="H74" s="66"/>
      <c r="I74" s="66"/>
      <c r="J74" s="66"/>
      <c r="K74" s="66"/>
    </row>
    <row r="76" spans="2:12" x14ac:dyDescent="0.25">
      <c r="B76" s="74"/>
    </row>
    <row r="77" spans="2:12" ht="21.75" customHeight="1" thickBot="1" x14ac:dyDescent="0.3">
      <c r="B77" s="12" t="s">
        <v>58</v>
      </c>
      <c r="C77" s="12"/>
      <c r="D77" s="12"/>
      <c r="E77" s="12"/>
      <c r="F77" s="12"/>
      <c r="G77" s="12"/>
      <c r="H77" s="12"/>
      <c r="I77" s="12"/>
      <c r="J77" s="12"/>
      <c r="K77" s="12"/>
      <c r="L77" s="13"/>
    </row>
    <row r="78" spans="2:12" ht="6" customHeight="1" thickBot="1" x14ac:dyDescent="0.3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</row>
    <row r="79" spans="2:12" ht="75" x14ac:dyDescent="0.25">
      <c r="B79" s="4"/>
      <c r="C79" s="4"/>
      <c r="D79" s="4"/>
      <c r="E79" s="14" t="s">
        <v>233</v>
      </c>
      <c r="F79" s="14" t="s">
        <v>234</v>
      </c>
      <c r="G79" s="14" t="s">
        <v>235</v>
      </c>
      <c r="H79" s="14" t="s">
        <v>236</v>
      </c>
      <c r="I79" s="14" t="s">
        <v>237</v>
      </c>
      <c r="J79" s="15" t="str">
        <f>CONCATENATE("var. ",RIGHT(I79,2),"/",RIGHT(H79,2))</f>
        <v>var. 25/24</v>
      </c>
      <c r="K79" s="15" t="str">
        <f>CONCATENATE("dif. ",RIGHT(I79,2),"/",RIGHT(H79,2))</f>
        <v>dif. 25/24</v>
      </c>
      <c r="L79" s="15" t="str">
        <f>CONCATENATE("cuota ",I79)</f>
        <v>cuota acumulado a septiembre 2025</v>
      </c>
    </row>
    <row r="80" spans="2:12" ht="15" customHeight="1" x14ac:dyDescent="0.25">
      <c r="B80" s="16" t="s">
        <v>44</v>
      </c>
      <c r="C80" s="17" t="s">
        <v>8</v>
      </c>
      <c r="D80" s="86" t="s">
        <v>45</v>
      </c>
      <c r="E80" s="87">
        <v>1311969</v>
      </c>
      <c r="F80" s="87">
        <v>3492085</v>
      </c>
      <c r="G80" s="87">
        <v>3849133</v>
      </c>
      <c r="H80" s="87">
        <v>4095618</v>
      </c>
      <c r="I80" s="87">
        <v>4071791</v>
      </c>
      <c r="J80" s="88">
        <f t="shared" ref="J80:J81" si="15">I80/H80-1</f>
        <v>-5.8176812388264221E-3</v>
      </c>
      <c r="K80" s="87">
        <f t="shared" ref="K80:K81" si="16">I80-H80</f>
        <v>-23827</v>
      </c>
      <c r="L80" s="88">
        <f t="shared" ref="L80:L81" si="17">I80/$I$80</f>
        <v>1</v>
      </c>
    </row>
    <row r="81" spans="2:13" ht="15" customHeight="1" x14ac:dyDescent="0.25">
      <c r="B81" s="22"/>
      <c r="C81" s="23"/>
      <c r="D81" s="18" t="s">
        <v>46</v>
      </c>
      <c r="E81" s="19">
        <v>505565</v>
      </c>
      <c r="F81" s="19">
        <v>1298122</v>
      </c>
      <c r="G81" s="19">
        <v>1400057</v>
      </c>
      <c r="H81" s="19">
        <v>1449683</v>
      </c>
      <c r="I81" s="19">
        <v>1380443</v>
      </c>
      <c r="J81" s="21">
        <f t="shared" si="15"/>
        <v>-4.7762165935587242E-2</v>
      </c>
      <c r="K81" s="19">
        <f t="shared" si="16"/>
        <v>-69240</v>
      </c>
      <c r="L81" s="21">
        <f t="shared" si="17"/>
        <v>0.33902599617711221</v>
      </c>
      <c r="M81" s="103"/>
    </row>
    <row r="82" spans="2:13" x14ac:dyDescent="0.25">
      <c r="B82" s="22"/>
      <c r="C82" s="23"/>
      <c r="D82" s="24" t="s">
        <v>47</v>
      </c>
      <c r="E82" s="25">
        <v>235520</v>
      </c>
      <c r="F82" s="25">
        <v>914043</v>
      </c>
      <c r="G82" s="25">
        <v>974839</v>
      </c>
      <c r="H82" s="25">
        <v>1033377</v>
      </c>
      <c r="I82" s="25">
        <v>1061717</v>
      </c>
      <c r="J82" s="81">
        <f>I82/H82-1</f>
        <v>2.7424647539087799E-2</v>
      </c>
      <c r="K82" s="25">
        <f>I82-H82</f>
        <v>28340</v>
      </c>
      <c r="L82" s="81">
        <f>I82/$I$80</f>
        <v>0.26074938522139274</v>
      </c>
      <c r="M82" s="103"/>
    </row>
    <row r="83" spans="2:13" x14ac:dyDescent="0.25">
      <c r="B83" s="22"/>
      <c r="C83" s="23"/>
      <c r="D83" s="24" t="s">
        <v>48</v>
      </c>
      <c r="E83" s="25">
        <v>11501</v>
      </c>
      <c r="F83" s="25">
        <v>25651</v>
      </c>
      <c r="G83" s="25">
        <v>37060</v>
      </c>
      <c r="H83" s="25">
        <v>32035</v>
      </c>
      <c r="I83" s="25">
        <v>31967</v>
      </c>
      <c r="J83" s="81">
        <f t="shared" ref="J83:J136" si="18">I83/H83-1</f>
        <v>-2.1226783205868793E-3</v>
      </c>
      <c r="K83" s="25">
        <f t="shared" ref="K83:K112" si="19">I83-H83</f>
        <v>-68</v>
      </c>
      <c r="L83" s="81">
        <f t="shared" ref="L83:L90" si="20">I83/$I$80</f>
        <v>7.8508449967102933E-3</v>
      </c>
      <c r="M83" s="103"/>
    </row>
    <row r="84" spans="2:13" x14ac:dyDescent="0.25">
      <c r="B84" s="22"/>
      <c r="C84" s="23"/>
      <c r="D84" s="24" t="s">
        <v>49</v>
      </c>
      <c r="E84" s="25">
        <v>34184</v>
      </c>
      <c r="F84" s="25">
        <v>117560</v>
      </c>
      <c r="G84" s="25">
        <v>137595</v>
      </c>
      <c r="H84" s="25">
        <v>175857</v>
      </c>
      <c r="I84" s="25">
        <v>141765</v>
      </c>
      <c r="J84" s="81">
        <f t="shared" si="18"/>
        <v>-0.19386205837697679</v>
      </c>
      <c r="K84" s="25">
        <f t="shared" si="19"/>
        <v>-34092</v>
      </c>
      <c r="L84" s="81">
        <f t="shared" si="20"/>
        <v>3.4816374416073909E-2</v>
      </c>
      <c r="M84" s="103"/>
    </row>
    <row r="85" spans="2:13" x14ac:dyDescent="0.25">
      <c r="B85" s="22"/>
      <c r="C85" s="23"/>
      <c r="D85" s="24" t="s">
        <v>50</v>
      </c>
      <c r="E85" s="25">
        <v>210211</v>
      </c>
      <c r="F85" s="25">
        <v>523202</v>
      </c>
      <c r="G85" s="25">
        <v>598329</v>
      </c>
      <c r="H85" s="25">
        <v>691297</v>
      </c>
      <c r="I85" s="25">
        <v>711805</v>
      </c>
      <c r="J85" s="81">
        <f t="shared" si="18"/>
        <v>2.9665975694961766E-2</v>
      </c>
      <c r="K85" s="25">
        <f t="shared" si="19"/>
        <v>20508</v>
      </c>
      <c r="L85" s="81">
        <f t="shared" si="20"/>
        <v>0.17481373675613507</v>
      </c>
      <c r="M85" s="103"/>
    </row>
    <row r="86" spans="2:13" x14ac:dyDescent="0.25">
      <c r="B86" s="22"/>
      <c r="C86" s="23"/>
      <c r="D86" s="24" t="s">
        <v>51</v>
      </c>
      <c r="E86" s="25">
        <v>21073</v>
      </c>
      <c r="F86" s="25">
        <v>37456</v>
      </c>
      <c r="G86" s="25">
        <v>44189</v>
      </c>
      <c r="H86" s="25">
        <v>41777</v>
      </c>
      <c r="I86" s="25">
        <v>40413</v>
      </c>
      <c r="J86" s="81">
        <f t="shared" si="18"/>
        <v>-3.2649544007468223E-2</v>
      </c>
      <c r="K86" s="25">
        <f t="shared" si="19"/>
        <v>-1364</v>
      </c>
      <c r="L86" s="81">
        <f t="shared" si="20"/>
        <v>9.9251164905074934E-3</v>
      </c>
      <c r="M86" s="103"/>
    </row>
    <row r="87" spans="2:13" x14ac:dyDescent="0.25">
      <c r="B87" s="22"/>
      <c r="C87" s="23"/>
      <c r="D87" s="24" t="s">
        <v>52</v>
      </c>
      <c r="E87" s="25">
        <v>69853</v>
      </c>
      <c r="F87" s="25">
        <v>146094</v>
      </c>
      <c r="G87" s="25">
        <v>187734</v>
      </c>
      <c r="H87" s="25">
        <v>181355</v>
      </c>
      <c r="I87" s="25">
        <v>192018</v>
      </c>
      <c r="J87" s="81">
        <f t="shared" si="18"/>
        <v>5.8796283532298599E-2</v>
      </c>
      <c r="K87" s="25">
        <f t="shared" si="19"/>
        <v>10663</v>
      </c>
      <c r="L87" s="81">
        <f t="shared" si="20"/>
        <v>4.7158117889646106E-2</v>
      </c>
      <c r="M87" s="103"/>
    </row>
    <row r="88" spans="2:13" x14ac:dyDescent="0.25">
      <c r="B88" s="22"/>
      <c r="C88" s="23"/>
      <c r="D88" s="24" t="s">
        <v>53</v>
      </c>
      <c r="E88" s="25">
        <v>103599</v>
      </c>
      <c r="F88" s="25">
        <v>157983</v>
      </c>
      <c r="G88" s="25">
        <v>174312</v>
      </c>
      <c r="H88" s="25">
        <v>181820</v>
      </c>
      <c r="I88" s="25">
        <v>203413</v>
      </c>
      <c r="J88" s="81">
        <f t="shared" si="18"/>
        <v>0.11876031239687612</v>
      </c>
      <c r="K88" s="25">
        <f t="shared" si="19"/>
        <v>21593</v>
      </c>
      <c r="L88" s="81">
        <f t="shared" si="20"/>
        <v>4.995664070184349E-2</v>
      </c>
      <c r="M88" s="103"/>
    </row>
    <row r="89" spans="2:13" ht="18" customHeight="1" x14ac:dyDescent="0.25">
      <c r="B89" s="22"/>
      <c r="C89" s="23"/>
      <c r="D89" s="24" t="s">
        <v>54</v>
      </c>
      <c r="E89" s="25">
        <v>77584</v>
      </c>
      <c r="F89" s="25">
        <v>190426</v>
      </c>
      <c r="G89" s="25">
        <v>205238</v>
      </c>
      <c r="H89" s="25">
        <v>213816</v>
      </c>
      <c r="I89" s="25">
        <v>213733</v>
      </c>
      <c r="J89" s="27">
        <f t="shared" si="18"/>
        <v>-3.8818423317243944E-4</v>
      </c>
      <c r="K89" s="25">
        <f t="shared" si="19"/>
        <v>-83</v>
      </c>
      <c r="L89" s="27">
        <f t="shared" si="20"/>
        <v>5.2491151927984515E-2</v>
      </c>
      <c r="M89" s="103"/>
    </row>
    <row r="90" spans="2:13" x14ac:dyDescent="0.25">
      <c r="B90" s="22"/>
      <c r="C90" s="28"/>
      <c r="D90" s="29" t="s">
        <v>55</v>
      </c>
      <c r="E90" s="90">
        <v>42879</v>
      </c>
      <c r="F90" s="90">
        <v>81548</v>
      </c>
      <c r="G90" s="90">
        <v>89780</v>
      </c>
      <c r="H90" s="90">
        <v>94601</v>
      </c>
      <c r="I90" s="90">
        <v>94517</v>
      </c>
      <c r="J90" s="58">
        <f t="shared" si="18"/>
        <v>-8.8793987378565919E-4</v>
      </c>
      <c r="K90" s="90">
        <f t="shared" si="19"/>
        <v>-84</v>
      </c>
      <c r="L90" s="58">
        <f t="shared" si="20"/>
        <v>2.3212635422594136E-2</v>
      </c>
      <c r="M90" s="103"/>
    </row>
    <row r="91" spans="2:13" x14ac:dyDescent="0.25">
      <c r="B91" s="22"/>
      <c r="C91" s="32" t="s">
        <v>18</v>
      </c>
      <c r="D91" s="86" t="s">
        <v>45</v>
      </c>
      <c r="E91" s="87">
        <v>1477278</v>
      </c>
      <c r="F91" s="87">
        <v>4116712</v>
      </c>
      <c r="G91" s="87">
        <v>4555390</v>
      </c>
      <c r="H91" s="87">
        <v>4846999</v>
      </c>
      <c r="I91" s="87">
        <v>4783955</v>
      </c>
      <c r="J91" s="88">
        <f t="shared" si="18"/>
        <v>-1.3006811018529185E-2</v>
      </c>
      <c r="K91" s="87">
        <f t="shared" si="19"/>
        <v>-63044</v>
      </c>
      <c r="L91" s="88">
        <f t="shared" ref="L91:L92" si="21">I91/$I$91</f>
        <v>1</v>
      </c>
    </row>
    <row r="92" spans="2:13" x14ac:dyDescent="0.25">
      <c r="B92" s="22"/>
      <c r="C92" s="36"/>
      <c r="D92" s="33" t="s">
        <v>46</v>
      </c>
      <c r="E92" s="34">
        <v>579611</v>
      </c>
      <c r="F92" s="34">
        <v>1558686</v>
      </c>
      <c r="G92" s="34">
        <v>1686480</v>
      </c>
      <c r="H92" s="34">
        <v>1747927</v>
      </c>
      <c r="I92" s="34">
        <v>1654003</v>
      </c>
      <c r="J92" s="104">
        <f t="shared" si="18"/>
        <v>-5.3734509507548101E-2</v>
      </c>
      <c r="K92" s="34">
        <f t="shared" si="19"/>
        <v>-93924</v>
      </c>
      <c r="L92" s="47">
        <f t="shared" si="21"/>
        <v>0.34573966519333899</v>
      </c>
    </row>
    <row r="93" spans="2:13" x14ac:dyDescent="0.25">
      <c r="B93" s="22"/>
      <c r="C93" s="36"/>
      <c r="D93" s="4" t="s">
        <v>47</v>
      </c>
      <c r="E93" s="37">
        <v>269519</v>
      </c>
      <c r="F93" s="37">
        <v>1092077</v>
      </c>
      <c r="G93" s="37">
        <v>1177799</v>
      </c>
      <c r="H93" s="37">
        <v>1245078</v>
      </c>
      <c r="I93" s="37">
        <v>1269157</v>
      </c>
      <c r="J93" s="105">
        <f t="shared" si="18"/>
        <v>1.9339350627028962E-2</v>
      </c>
      <c r="K93" s="37">
        <f t="shared" si="19"/>
        <v>24079</v>
      </c>
      <c r="L93" s="98">
        <f>I93/$I$91</f>
        <v>0.26529451050438391</v>
      </c>
    </row>
    <row r="94" spans="2:13" x14ac:dyDescent="0.25">
      <c r="B94" s="22"/>
      <c r="C94" s="36"/>
      <c r="D94" s="4" t="s">
        <v>48</v>
      </c>
      <c r="E94" s="37">
        <v>12698</v>
      </c>
      <c r="F94" s="37">
        <v>28629</v>
      </c>
      <c r="G94" s="37">
        <v>39892</v>
      </c>
      <c r="H94" s="37">
        <v>35375</v>
      </c>
      <c r="I94" s="37">
        <v>35673</v>
      </c>
      <c r="J94" s="105">
        <f t="shared" si="18"/>
        <v>8.4240282685512646E-3</v>
      </c>
      <c r="K94" s="37">
        <f t="shared" si="19"/>
        <v>298</v>
      </c>
      <c r="L94" s="98">
        <f t="shared" ref="L94:L101" si="22">I94/$I$91</f>
        <v>7.4568009105436817E-3</v>
      </c>
    </row>
    <row r="95" spans="2:13" x14ac:dyDescent="0.25">
      <c r="B95" s="22"/>
      <c r="C95" s="36"/>
      <c r="D95" s="4" t="s">
        <v>49</v>
      </c>
      <c r="E95" s="37">
        <v>40371</v>
      </c>
      <c r="F95" s="37">
        <v>138765</v>
      </c>
      <c r="G95" s="37">
        <v>159652</v>
      </c>
      <c r="H95" s="37">
        <v>203839</v>
      </c>
      <c r="I95" s="37">
        <v>163994</v>
      </c>
      <c r="J95" s="105">
        <f t="shared" si="18"/>
        <v>-0.19547289772810894</v>
      </c>
      <c r="K95" s="37">
        <f t="shared" si="19"/>
        <v>-39845</v>
      </c>
      <c r="L95" s="98">
        <f t="shared" si="22"/>
        <v>3.4280004724124707E-2</v>
      </c>
    </row>
    <row r="96" spans="2:13" x14ac:dyDescent="0.25">
      <c r="B96" s="22"/>
      <c r="C96" s="36"/>
      <c r="D96" s="4" t="s">
        <v>50</v>
      </c>
      <c r="E96" s="37">
        <v>232764</v>
      </c>
      <c r="F96" s="37">
        <v>604155</v>
      </c>
      <c r="G96" s="37">
        <v>699601</v>
      </c>
      <c r="H96" s="37">
        <v>804878</v>
      </c>
      <c r="I96" s="37">
        <v>822866</v>
      </c>
      <c r="J96" s="105">
        <f t="shared" si="18"/>
        <v>2.2348728627195724E-2</v>
      </c>
      <c r="K96" s="37">
        <f t="shared" si="19"/>
        <v>17988</v>
      </c>
      <c r="L96" s="98">
        <f t="shared" si="22"/>
        <v>0.17200538048539335</v>
      </c>
    </row>
    <row r="97" spans="2:12" x14ac:dyDescent="0.25">
      <c r="B97" s="22"/>
      <c r="C97" s="36"/>
      <c r="D97" s="4" t="s">
        <v>51</v>
      </c>
      <c r="E97" s="37">
        <v>21851</v>
      </c>
      <c r="F97" s="37">
        <v>39143</v>
      </c>
      <c r="G97" s="37">
        <v>46340</v>
      </c>
      <c r="H97" s="37">
        <v>43855</v>
      </c>
      <c r="I97" s="37">
        <v>42521</v>
      </c>
      <c r="J97" s="105">
        <f t="shared" si="18"/>
        <v>-3.0418424352981366E-2</v>
      </c>
      <c r="K97" s="37">
        <f t="shared" si="19"/>
        <v>-1334</v>
      </c>
      <c r="L97" s="98">
        <f t="shared" si="22"/>
        <v>8.8882525023751269E-3</v>
      </c>
    </row>
    <row r="98" spans="2:12" x14ac:dyDescent="0.25">
      <c r="B98" s="22"/>
      <c r="C98" s="36"/>
      <c r="D98" s="4" t="s">
        <v>52</v>
      </c>
      <c r="E98" s="37">
        <v>81129</v>
      </c>
      <c r="F98" s="37">
        <v>171217</v>
      </c>
      <c r="G98" s="37">
        <v>213329</v>
      </c>
      <c r="H98" s="37">
        <v>211792</v>
      </c>
      <c r="I98" s="37">
        <v>220769</v>
      </c>
      <c r="J98" s="105">
        <f t="shared" si="18"/>
        <v>4.2385925814006242E-2</v>
      </c>
      <c r="K98" s="37">
        <f t="shared" si="19"/>
        <v>8977</v>
      </c>
      <c r="L98" s="98">
        <f t="shared" si="22"/>
        <v>4.6147800303305529E-2</v>
      </c>
    </row>
    <row r="99" spans="2:12" x14ac:dyDescent="0.25">
      <c r="B99" s="22"/>
      <c r="C99" s="36"/>
      <c r="D99" s="4" t="s">
        <v>53</v>
      </c>
      <c r="E99" s="37">
        <v>106775</v>
      </c>
      <c r="F99" s="37">
        <v>165117</v>
      </c>
      <c r="G99" s="37">
        <v>182016</v>
      </c>
      <c r="H99" s="37">
        <v>189705</v>
      </c>
      <c r="I99" s="37">
        <v>211709</v>
      </c>
      <c r="J99" s="105">
        <f t="shared" si="18"/>
        <v>0.11599061701062174</v>
      </c>
      <c r="K99" s="37">
        <f t="shared" si="19"/>
        <v>22004</v>
      </c>
      <c r="L99" s="98">
        <f t="shared" si="22"/>
        <v>4.4253969780234138E-2</v>
      </c>
    </row>
    <row r="100" spans="2:12" x14ac:dyDescent="0.25">
      <c r="B100" s="22"/>
      <c r="C100" s="36"/>
      <c r="D100" s="4" t="s">
        <v>54</v>
      </c>
      <c r="E100" s="37">
        <v>86363</v>
      </c>
      <c r="F100" s="37">
        <v>226073</v>
      </c>
      <c r="G100" s="37">
        <v>244622</v>
      </c>
      <c r="H100" s="37">
        <v>256066</v>
      </c>
      <c r="I100" s="37">
        <v>254821</v>
      </c>
      <c r="J100" s="39">
        <f t="shared" si="18"/>
        <v>-4.8620277584685567E-3</v>
      </c>
      <c r="K100" s="37">
        <f t="shared" si="19"/>
        <v>-1245</v>
      </c>
      <c r="L100" s="51">
        <f t="shared" si="22"/>
        <v>5.3265760233948689E-2</v>
      </c>
    </row>
    <row r="101" spans="2:12" x14ac:dyDescent="0.25">
      <c r="B101" s="22"/>
      <c r="C101" s="40"/>
      <c r="D101" s="41" t="s">
        <v>55</v>
      </c>
      <c r="E101" s="92">
        <v>46197</v>
      </c>
      <c r="F101" s="92">
        <v>92850</v>
      </c>
      <c r="G101" s="92">
        <v>105659</v>
      </c>
      <c r="H101" s="92">
        <v>108484</v>
      </c>
      <c r="I101" s="92">
        <v>108442</v>
      </c>
      <c r="J101" s="93">
        <f t="shared" si="18"/>
        <v>-3.8715386600784996E-4</v>
      </c>
      <c r="K101" s="92">
        <f t="shared" si="19"/>
        <v>-42</v>
      </c>
      <c r="L101" s="73">
        <f t="shared" si="22"/>
        <v>2.2667855362351861E-2</v>
      </c>
    </row>
    <row r="102" spans="2:12" x14ac:dyDescent="0.25">
      <c r="B102" s="22"/>
      <c r="C102" s="17" t="s">
        <v>21</v>
      </c>
      <c r="D102" s="86" t="s">
        <v>45</v>
      </c>
      <c r="E102" s="87">
        <v>7178852</v>
      </c>
      <c r="F102" s="87">
        <v>23015665</v>
      </c>
      <c r="G102" s="87">
        <v>25556749</v>
      </c>
      <c r="H102" s="87">
        <v>27044823</v>
      </c>
      <c r="I102" s="87">
        <v>26204731</v>
      </c>
      <c r="J102" s="88">
        <f t="shared" si="18"/>
        <v>-3.1062950569134773E-2</v>
      </c>
      <c r="K102" s="87">
        <f t="shared" si="19"/>
        <v>-840092</v>
      </c>
      <c r="L102" s="88">
        <f t="shared" ref="L102:L103" si="23">I102/$I$102</f>
        <v>1</v>
      </c>
    </row>
    <row r="103" spans="2:12" x14ac:dyDescent="0.25">
      <c r="B103" s="22"/>
      <c r="C103" s="23"/>
      <c r="D103" s="18" t="s">
        <v>46</v>
      </c>
      <c r="E103" s="19">
        <v>3053438</v>
      </c>
      <c r="F103" s="19">
        <v>9333775</v>
      </c>
      <c r="G103" s="19">
        <v>10077442</v>
      </c>
      <c r="H103" s="19">
        <v>10350937</v>
      </c>
      <c r="I103" s="19">
        <v>9774291</v>
      </c>
      <c r="J103" s="21">
        <f t="shared" si="18"/>
        <v>-5.5709545908742331E-2</v>
      </c>
      <c r="K103" s="19">
        <f t="shared" si="19"/>
        <v>-576646</v>
      </c>
      <c r="L103" s="21">
        <f t="shared" si="23"/>
        <v>0.37299718894271422</v>
      </c>
    </row>
    <row r="104" spans="2:12" x14ac:dyDescent="0.25">
      <c r="B104" s="22"/>
      <c r="C104" s="23"/>
      <c r="D104" s="24" t="s">
        <v>47</v>
      </c>
      <c r="E104" s="25">
        <v>1499277</v>
      </c>
      <c r="F104" s="25">
        <v>6487078</v>
      </c>
      <c r="G104" s="25">
        <v>7196338</v>
      </c>
      <c r="H104" s="25">
        <v>7492248</v>
      </c>
      <c r="I104" s="25">
        <v>7477039</v>
      </c>
      <c r="J104" s="81">
        <f t="shared" si="18"/>
        <v>-2.0299648383235169E-3</v>
      </c>
      <c r="K104" s="25">
        <f t="shared" si="19"/>
        <v>-15209</v>
      </c>
      <c r="L104" s="81">
        <f>I104/$I$102</f>
        <v>0.28533164488504004</v>
      </c>
    </row>
    <row r="105" spans="2:12" x14ac:dyDescent="0.25">
      <c r="B105" s="22"/>
      <c r="C105" s="23"/>
      <c r="D105" s="24" t="s">
        <v>48</v>
      </c>
      <c r="E105" s="25">
        <v>52951</v>
      </c>
      <c r="F105" s="25">
        <v>119118</v>
      </c>
      <c r="G105" s="25">
        <v>124202</v>
      </c>
      <c r="H105" s="25">
        <v>142297</v>
      </c>
      <c r="I105" s="25">
        <v>144492</v>
      </c>
      <c r="J105" s="81">
        <f t="shared" si="18"/>
        <v>1.5425483320098188E-2</v>
      </c>
      <c r="K105" s="25">
        <f t="shared" si="19"/>
        <v>2195</v>
      </c>
      <c r="L105" s="81">
        <f t="shared" ref="L105:L112" si="24">I105/$I$102</f>
        <v>5.5139661613011785E-3</v>
      </c>
    </row>
    <row r="106" spans="2:12" x14ac:dyDescent="0.25">
      <c r="B106" s="22"/>
      <c r="C106" s="23"/>
      <c r="D106" s="24" t="s">
        <v>49</v>
      </c>
      <c r="E106" s="25">
        <v>206512</v>
      </c>
      <c r="F106" s="25">
        <v>728683</v>
      </c>
      <c r="G106" s="25">
        <v>789742</v>
      </c>
      <c r="H106" s="25">
        <v>1039569</v>
      </c>
      <c r="I106" s="25">
        <v>832293</v>
      </c>
      <c r="J106" s="81">
        <f t="shared" si="18"/>
        <v>-0.19938647651093866</v>
      </c>
      <c r="K106" s="25">
        <f t="shared" si="19"/>
        <v>-207276</v>
      </c>
      <c r="L106" s="81">
        <f t="shared" si="24"/>
        <v>3.1761173201892437E-2</v>
      </c>
    </row>
    <row r="107" spans="2:12" x14ac:dyDescent="0.25">
      <c r="B107" s="22"/>
      <c r="C107" s="23"/>
      <c r="D107" s="24" t="s">
        <v>50</v>
      </c>
      <c r="E107" s="25">
        <v>1092978</v>
      </c>
      <c r="F107" s="25">
        <v>3164473</v>
      </c>
      <c r="G107" s="25">
        <v>3797412</v>
      </c>
      <c r="H107" s="25">
        <v>4309024</v>
      </c>
      <c r="I107" s="25">
        <v>4269487</v>
      </c>
      <c r="J107" s="81">
        <f t="shared" si="18"/>
        <v>-9.1753956348351595E-3</v>
      </c>
      <c r="K107" s="25">
        <f t="shared" si="19"/>
        <v>-39537</v>
      </c>
      <c r="L107" s="81">
        <f t="shared" si="24"/>
        <v>0.16292809874674921</v>
      </c>
    </row>
    <row r="108" spans="2:12" x14ac:dyDescent="0.25">
      <c r="B108" s="22"/>
      <c r="C108" s="23"/>
      <c r="D108" s="24" t="s">
        <v>51</v>
      </c>
      <c r="E108" s="25">
        <v>49897</v>
      </c>
      <c r="F108" s="25">
        <v>100995</v>
      </c>
      <c r="G108" s="25">
        <v>112147</v>
      </c>
      <c r="H108" s="25">
        <v>111822</v>
      </c>
      <c r="I108" s="25">
        <v>111166</v>
      </c>
      <c r="J108" s="81">
        <f t="shared" si="18"/>
        <v>-5.8664663483035673E-3</v>
      </c>
      <c r="K108" s="25">
        <f t="shared" si="19"/>
        <v>-656</v>
      </c>
      <c r="L108" s="81">
        <f t="shared" si="24"/>
        <v>4.2422110724967942E-3</v>
      </c>
    </row>
    <row r="109" spans="2:12" x14ac:dyDescent="0.25">
      <c r="B109" s="22"/>
      <c r="C109" s="23"/>
      <c r="D109" s="24" t="s">
        <v>52</v>
      </c>
      <c r="E109" s="25">
        <v>455604</v>
      </c>
      <c r="F109" s="25">
        <v>960692</v>
      </c>
      <c r="G109" s="25">
        <v>1064225</v>
      </c>
      <c r="H109" s="25">
        <v>1119703</v>
      </c>
      <c r="I109" s="25">
        <v>1089624</v>
      </c>
      <c r="J109" s="81">
        <f t="shared" si="18"/>
        <v>-2.6863373591032635E-2</v>
      </c>
      <c r="K109" s="25">
        <f t="shared" si="19"/>
        <v>-30079</v>
      </c>
      <c r="L109" s="81">
        <f t="shared" si="24"/>
        <v>4.1581193869152863E-2</v>
      </c>
    </row>
    <row r="110" spans="2:12" x14ac:dyDescent="0.25">
      <c r="B110" s="22"/>
      <c r="C110" s="23"/>
      <c r="D110" s="24" t="s">
        <v>53</v>
      </c>
      <c r="E110" s="25">
        <v>220493</v>
      </c>
      <c r="F110" s="25">
        <v>385149</v>
      </c>
      <c r="G110" s="25">
        <v>418024</v>
      </c>
      <c r="H110" s="25">
        <v>432765</v>
      </c>
      <c r="I110" s="25">
        <v>448403</v>
      </c>
      <c r="J110" s="81">
        <f t="shared" si="18"/>
        <v>3.6135084861298905E-2</v>
      </c>
      <c r="K110" s="25">
        <f t="shared" si="19"/>
        <v>15638</v>
      </c>
      <c r="L110" s="81">
        <f t="shared" si="24"/>
        <v>1.7111528448813307E-2</v>
      </c>
    </row>
    <row r="111" spans="2:12" x14ac:dyDescent="0.25">
      <c r="B111" s="22"/>
      <c r="C111" s="23"/>
      <c r="D111" s="24" t="s">
        <v>54</v>
      </c>
      <c r="E111" s="25">
        <v>377103</v>
      </c>
      <c r="F111" s="25">
        <v>1289839</v>
      </c>
      <c r="G111" s="25">
        <v>1393117</v>
      </c>
      <c r="H111" s="25">
        <v>1487889</v>
      </c>
      <c r="I111" s="25">
        <v>1504746</v>
      </c>
      <c r="J111" s="27">
        <f t="shared" si="18"/>
        <v>1.1329474174484711E-2</v>
      </c>
      <c r="K111" s="25">
        <f t="shared" si="19"/>
        <v>16857</v>
      </c>
      <c r="L111" s="27">
        <f t="shared" si="24"/>
        <v>5.742268447632605E-2</v>
      </c>
    </row>
    <row r="112" spans="2:12" x14ac:dyDescent="0.25">
      <c r="B112" s="22"/>
      <c r="C112" s="28"/>
      <c r="D112" s="29" t="s">
        <v>55</v>
      </c>
      <c r="E112" s="90">
        <v>170599</v>
      </c>
      <c r="F112" s="90">
        <v>445863</v>
      </c>
      <c r="G112" s="90">
        <v>584100</v>
      </c>
      <c r="H112" s="90">
        <v>558569</v>
      </c>
      <c r="I112" s="90">
        <v>553190</v>
      </c>
      <c r="J112" s="58">
        <f t="shared" si="18"/>
        <v>-9.6299651430709066E-3</v>
      </c>
      <c r="K112" s="90">
        <f t="shared" si="19"/>
        <v>-5379</v>
      </c>
      <c r="L112" s="58">
        <f t="shared" si="24"/>
        <v>2.1110310195513932E-2</v>
      </c>
    </row>
    <row r="113" spans="2:12" x14ac:dyDescent="0.25">
      <c r="B113" s="22"/>
      <c r="C113" s="32" t="s">
        <v>22</v>
      </c>
      <c r="D113" s="86" t="s">
        <v>45</v>
      </c>
      <c r="E113" s="95">
        <f t="shared" ref="E113:I114" si="25">E102/E80</f>
        <v>5.4718152639277298</v>
      </c>
      <c r="F113" s="95">
        <f t="shared" si="25"/>
        <v>6.5908089293359122</v>
      </c>
      <c r="G113" s="95">
        <f t="shared" si="25"/>
        <v>6.6396118294691302</v>
      </c>
      <c r="H113" s="95">
        <f t="shared" si="25"/>
        <v>6.6033558305486499</v>
      </c>
      <c r="I113" s="95">
        <f t="shared" si="25"/>
        <v>6.4356768311536623</v>
      </c>
      <c r="J113" s="88">
        <f t="shared" si="18"/>
        <v>-2.5392997696605413E-2</v>
      </c>
      <c r="K113" s="95">
        <f t="shared" ref="K113:K114" si="26">(I113-H113)</f>
        <v>-0.16767899939498765</v>
      </c>
      <c r="L113" s="88"/>
    </row>
    <row r="114" spans="2:12" x14ac:dyDescent="0.25">
      <c r="B114" s="22"/>
      <c r="C114" s="36"/>
      <c r="D114" s="33" t="s">
        <v>46</v>
      </c>
      <c r="E114" s="46">
        <f t="shared" si="25"/>
        <v>6.0396546438143464</v>
      </c>
      <c r="F114" s="46">
        <f t="shared" si="25"/>
        <v>7.1902140168643625</v>
      </c>
      <c r="G114" s="46">
        <f t="shared" si="25"/>
        <v>7.1978798006081179</v>
      </c>
      <c r="H114" s="46">
        <f t="shared" si="25"/>
        <v>7.1401382233219266</v>
      </c>
      <c r="I114" s="46">
        <f t="shared" si="25"/>
        <v>7.0805466071398815</v>
      </c>
      <c r="J114" s="104">
        <f t="shared" si="18"/>
        <v>-8.3460031610312901E-3</v>
      </c>
      <c r="K114" s="46">
        <f t="shared" si="26"/>
        <v>-5.9591616182045115E-2</v>
      </c>
      <c r="L114" s="47"/>
    </row>
    <row r="115" spans="2:12" x14ac:dyDescent="0.25">
      <c r="B115" s="22"/>
      <c r="C115" s="36"/>
      <c r="D115" s="4" t="s">
        <v>47</v>
      </c>
      <c r="E115" s="50">
        <f>E104/E82</f>
        <v>6.3658160665760866</v>
      </c>
      <c r="F115" s="50">
        <f>F104/F82</f>
        <v>7.0971256275689436</v>
      </c>
      <c r="G115" s="50">
        <f>G104/G82</f>
        <v>7.3820784765484353</v>
      </c>
      <c r="H115" s="50">
        <f>H104/H82</f>
        <v>7.250256198850952</v>
      </c>
      <c r="I115" s="50">
        <f>I104/I82</f>
        <v>7.0424030132323399</v>
      </c>
      <c r="J115" s="105">
        <f t="shared" si="18"/>
        <v>-2.8668391835802054E-2</v>
      </c>
      <c r="K115" s="50">
        <f>(I115-H115)</f>
        <v>-0.2078531856186121</v>
      </c>
      <c r="L115" s="98"/>
    </row>
    <row r="116" spans="2:12" x14ac:dyDescent="0.25">
      <c r="B116" s="22"/>
      <c r="C116" s="36"/>
      <c r="D116" s="4" t="s">
        <v>48</v>
      </c>
      <c r="E116" s="50">
        <f t="shared" ref="E116:I123" si="27">E105/E83</f>
        <v>4.6040344317885404</v>
      </c>
      <c r="F116" s="50">
        <f t="shared" si="27"/>
        <v>4.6437955635257886</v>
      </c>
      <c r="G116" s="50">
        <f t="shared" si="27"/>
        <v>3.3513761467889909</v>
      </c>
      <c r="H116" s="50">
        <f t="shared" si="27"/>
        <v>4.4419228968315903</v>
      </c>
      <c r="I116" s="50">
        <f t="shared" si="27"/>
        <v>4.5200362874214033</v>
      </c>
      <c r="J116" s="105">
        <f t="shared" si="18"/>
        <v>1.758548997902043E-2</v>
      </c>
      <c r="K116" s="50">
        <f t="shared" ref="K116:K123" si="28">(I116-H116)</f>
        <v>7.8113390589813037E-2</v>
      </c>
      <c r="L116" s="98"/>
    </row>
    <row r="117" spans="2:12" x14ac:dyDescent="0.25">
      <c r="B117" s="22"/>
      <c r="C117" s="36"/>
      <c r="D117" s="4" t="s">
        <v>49</v>
      </c>
      <c r="E117" s="50">
        <f t="shared" si="27"/>
        <v>6.0411888602855139</v>
      </c>
      <c r="F117" s="50">
        <f t="shared" si="27"/>
        <v>6.1983923103096288</v>
      </c>
      <c r="G117" s="50">
        <f t="shared" si="27"/>
        <v>5.739612631272939</v>
      </c>
      <c r="H117" s="50">
        <f t="shared" si="27"/>
        <v>5.911445094593903</v>
      </c>
      <c r="I117" s="50">
        <f t="shared" si="27"/>
        <v>5.8709342926674424</v>
      </c>
      <c r="J117" s="105">
        <f t="shared" si="18"/>
        <v>-6.8529439550252258E-3</v>
      </c>
      <c r="K117" s="50">
        <f t="shared" si="28"/>
        <v>-4.0510801926460616E-2</v>
      </c>
      <c r="L117" s="98"/>
    </row>
    <row r="118" spans="2:12" x14ac:dyDescent="0.25">
      <c r="B118" s="22"/>
      <c r="C118" s="36"/>
      <c r="D118" s="4" t="s">
        <v>50</v>
      </c>
      <c r="E118" s="50">
        <f t="shared" si="27"/>
        <v>5.1994329507019135</v>
      </c>
      <c r="F118" s="50">
        <f t="shared" si="27"/>
        <v>6.0482815432662722</v>
      </c>
      <c r="G118" s="50">
        <f t="shared" si="27"/>
        <v>6.3466955470986699</v>
      </c>
      <c r="H118" s="50">
        <f t="shared" si="27"/>
        <v>6.2332456238056873</v>
      </c>
      <c r="I118" s="50">
        <f t="shared" si="27"/>
        <v>5.9981132473079004</v>
      </c>
      <c r="J118" s="105">
        <f t="shared" si="18"/>
        <v>-3.7722302422959486E-2</v>
      </c>
      <c r="K118" s="50">
        <f t="shared" si="28"/>
        <v>-0.23513237649778684</v>
      </c>
      <c r="L118" s="98"/>
    </row>
    <row r="119" spans="2:12" x14ac:dyDescent="0.25">
      <c r="B119" s="22"/>
      <c r="C119" s="36"/>
      <c r="D119" s="4" t="s">
        <v>51</v>
      </c>
      <c r="E119" s="50">
        <f t="shared" si="27"/>
        <v>2.3678166374033123</v>
      </c>
      <c r="F119" s="50">
        <f t="shared" si="27"/>
        <v>2.6963637334472446</v>
      </c>
      <c r="G119" s="50">
        <f t="shared" si="27"/>
        <v>2.5378940460295549</v>
      </c>
      <c r="H119" s="50">
        <f t="shared" si="27"/>
        <v>2.6766402566005216</v>
      </c>
      <c r="I119" s="50">
        <f t="shared" si="27"/>
        <v>2.7507485215153538</v>
      </c>
      <c r="J119" s="105">
        <f t="shared" si="18"/>
        <v>2.7687047122631814E-2</v>
      </c>
      <c r="K119" s="50">
        <f t="shared" si="28"/>
        <v>7.4108264914832134E-2</v>
      </c>
      <c r="L119" s="98"/>
    </row>
    <row r="120" spans="2:12" x14ac:dyDescent="0.25">
      <c r="B120" s="22"/>
      <c r="C120" s="36"/>
      <c r="D120" s="4" t="s">
        <v>52</v>
      </c>
      <c r="E120" s="50">
        <f t="shared" si="27"/>
        <v>6.5223254548838279</v>
      </c>
      <c r="F120" s="50">
        <f t="shared" si="27"/>
        <v>6.575848426355634</v>
      </c>
      <c r="G120" s="50">
        <f t="shared" si="27"/>
        <v>5.6687920142329036</v>
      </c>
      <c r="H120" s="50">
        <f t="shared" si="27"/>
        <v>6.1740950070304104</v>
      </c>
      <c r="I120" s="50">
        <f t="shared" si="27"/>
        <v>5.674593006905603</v>
      </c>
      <c r="J120" s="105">
        <f t="shared" si="18"/>
        <v>-8.0902869093531393E-2</v>
      </c>
      <c r="K120" s="50">
        <f t="shared" si="28"/>
        <v>-0.49950200012480739</v>
      </c>
      <c r="L120" s="98"/>
    </row>
    <row r="121" spans="2:12" x14ac:dyDescent="0.25">
      <c r="B121" s="22"/>
      <c r="C121" s="36"/>
      <c r="D121" s="4" t="s">
        <v>53</v>
      </c>
      <c r="E121" s="50">
        <f t="shared" si="27"/>
        <v>2.1283313545497542</v>
      </c>
      <c r="F121" s="50">
        <f t="shared" si="27"/>
        <v>2.4379142059588692</v>
      </c>
      <c r="G121" s="50">
        <f t="shared" si="27"/>
        <v>2.3981366744687684</v>
      </c>
      <c r="H121" s="50">
        <f t="shared" si="27"/>
        <v>2.3801836981630182</v>
      </c>
      <c r="I121" s="50">
        <f t="shared" si="27"/>
        <v>2.2043969657789817</v>
      </c>
      <c r="J121" s="105">
        <f t="shared" si="18"/>
        <v>-7.3854271214320755E-2</v>
      </c>
      <c r="K121" s="50">
        <f t="shared" si="28"/>
        <v>-0.17578673238403653</v>
      </c>
      <c r="L121" s="98"/>
    </row>
    <row r="122" spans="2:12" x14ac:dyDescent="0.25">
      <c r="B122" s="22"/>
      <c r="C122" s="36"/>
      <c r="D122" s="4" t="s">
        <v>54</v>
      </c>
      <c r="E122" s="50">
        <f t="shared" si="27"/>
        <v>4.8605769230769234</v>
      </c>
      <c r="F122" s="50">
        <f t="shared" si="27"/>
        <v>6.7734395513217729</v>
      </c>
      <c r="G122" s="50">
        <f t="shared" si="27"/>
        <v>6.7878121985207418</v>
      </c>
      <c r="H122" s="50">
        <f t="shared" si="27"/>
        <v>6.958735548321922</v>
      </c>
      <c r="I122" s="50">
        <f t="shared" si="27"/>
        <v>7.0403072992939792</v>
      </c>
      <c r="J122" s="39">
        <f t="shared" si="18"/>
        <v>1.1722208784285204E-2</v>
      </c>
      <c r="K122" s="50">
        <f t="shared" si="28"/>
        <v>8.1571750972057266E-2</v>
      </c>
      <c r="L122" s="51"/>
    </row>
    <row r="123" spans="2:12" x14ac:dyDescent="0.25">
      <c r="B123" s="22"/>
      <c r="C123" s="40"/>
      <c r="D123" s="41" t="s">
        <v>55</v>
      </c>
      <c r="E123" s="101">
        <f t="shared" si="27"/>
        <v>3.9786142400708973</v>
      </c>
      <c r="F123" s="101">
        <f t="shared" si="27"/>
        <v>5.4674915387256586</v>
      </c>
      <c r="G123" s="101">
        <f t="shared" si="27"/>
        <v>6.5059033192247719</v>
      </c>
      <c r="H123" s="101">
        <f t="shared" si="27"/>
        <v>5.9044724685785566</v>
      </c>
      <c r="I123" s="101">
        <f t="shared" si="27"/>
        <v>5.8528095474888113</v>
      </c>
      <c r="J123" s="93">
        <f t="shared" si="18"/>
        <v>-8.7497945607633021E-3</v>
      </c>
      <c r="K123" s="101">
        <f t="shared" si="28"/>
        <v>-5.166292108974524E-2</v>
      </c>
      <c r="L123" s="73"/>
    </row>
    <row r="124" spans="2:12" x14ac:dyDescent="0.25">
      <c r="B124" s="22"/>
      <c r="C124" s="53" t="s">
        <v>36</v>
      </c>
      <c r="D124" s="86" t="s">
        <v>45</v>
      </c>
      <c r="E124" s="88">
        <v>0.3687953172560467</v>
      </c>
      <c r="F124" s="88">
        <v>0.68498858231579329</v>
      </c>
      <c r="G124" s="88">
        <v>0.74770237320670863</v>
      </c>
      <c r="H124" s="88">
        <v>0.77667613521817547</v>
      </c>
      <c r="I124" s="88">
        <v>0.76651282431094159</v>
      </c>
      <c r="J124" s="88">
        <f t="shared" si="18"/>
        <v>-1.3085648504416736E-2</v>
      </c>
      <c r="K124" s="95">
        <f t="shared" ref="K124:K125" si="29">(I124-H124)*100</f>
        <v>-1.016331090723388</v>
      </c>
      <c r="L124" s="88"/>
    </row>
    <row r="125" spans="2:12" x14ac:dyDescent="0.25">
      <c r="B125" s="22"/>
      <c r="C125" s="55"/>
      <c r="D125" s="18" t="s">
        <v>46</v>
      </c>
      <c r="E125" s="21">
        <v>0.43335869530198978</v>
      </c>
      <c r="F125" s="21">
        <v>0.77661439051066494</v>
      </c>
      <c r="G125" s="21">
        <v>0.80803859299525338</v>
      </c>
      <c r="H125" s="21">
        <v>0.81492615902123866</v>
      </c>
      <c r="I125" s="21">
        <v>0.80078058626142623</v>
      </c>
      <c r="J125" s="21">
        <f t="shared" si="18"/>
        <v>-1.7358103679972481E-2</v>
      </c>
      <c r="K125" s="54">
        <f t="shared" si="29"/>
        <v>-1.414557275981243</v>
      </c>
      <c r="L125" s="21"/>
    </row>
    <row r="126" spans="2:12" x14ac:dyDescent="0.25">
      <c r="B126" s="22"/>
      <c r="C126" s="55"/>
      <c r="D126" s="24" t="s">
        <v>47</v>
      </c>
      <c r="E126" s="81">
        <v>0.27185977021123353</v>
      </c>
      <c r="F126" s="81">
        <v>0.62608418535382115</v>
      </c>
      <c r="G126" s="81">
        <v>0.70375449470776241</v>
      </c>
      <c r="H126" s="81">
        <v>0.72458016215087573</v>
      </c>
      <c r="I126" s="81">
        <v>0.73453854529118257</v>
      </c>
      <c r="J126" s="81">
        <f t="shared" si="18"/>
        <v>1.3743659653537854E-2</v>
      </c>
      <c r="K126" s="56">
        <f>(I126-H126)*100</f>
        <v>0.99583831403068368</v>
      </c>
      <c r="L126" s="81"/>
    </row>
    <row r="127" spans="2:12" x14ac:dyDescent="0.25">
      <c r="B127" s="22"/>
      <c r="C127" s="55"/>
      <c r="D127" s="24" t="s">
        <v>48</v>
      </c>
      <c r="E127" s="81">
        <v>0.3103337123298911</v>
      </c>
      <c r="F127" s="81">
        <v>0.51891058313076666</v>
      </c>
      <c r="G127" s="81">
        <v>0.50828091685525689</v>
      </c>
      <c r="H127" s="81">
        <v>0.57953147781606107</v>
      </c>
      <c r="I127" s="81">
        <v>0.57886176256139477</v>
      </c>
      <c r="J127" s="81">
        <f t="shared" si="18"/>
        <v>-1.1556149757215861E-3</v>
      </c>
      <c r="K127" s="56">
        <f t="shared" ref="K127:K134" si="30">(I127-H127)*100</f>
        <v>-6.6971525466630322E-2</v>
      </c>
      <c r="L127" s="81"/>
    </row>
    <row r="128" spans="2:12" x14ac:dyDescent="0.25">
      <c r="B128" s="22"/>
      <c r="C128" s="55"/>
      <c r="D128" s="24" t="s">
        <v>49</v>
      </c>
      <c r="E128" s="81">
        <v>0.19585661662892023</v>
      </c>
      <c r="F128" s="81">
        <v>0.58508735163711056</v>
      </c>
      <c r="G128" s="81">
        <v>0.65720481863543012</v>
      </c>
      <c r="H128" s="81">
        <v>0.86969496187650897</v>
      </c>
      <c r="I128" s="81">
        <v>0.66046193840821221</v>
      </c>
      <c r="J128" s="81">
        <f t="shared" si="18"/>
        <v>-0.24058208066060582</v>
      </c>
      <c r="K128" s="56">
        <f t="shared" si="30"/>
        <v>-20.923302346829676</v>
      </c>
      <c r="L128" s="81"/>
    </row>
    <row r="129" spans="2:12" x14ac:dyDescent="0.25">
      <c r="B129" s="22"/>
      <c r="C129" s="55"/>
      <c r="D129" s="24" t="s">
        <v>50</v>
      </c>
      <c r="E129" s="81">
        <v>0.43434260744334358</v>
      </c>
      <c r="F129" s="81">
        <v>0.63168429289481354</v>
      </c>
      <c r="G129" s="81">
        <v>0.72699057407837087</v>
      </c>
      <c r="H129" s="81">
        <v>0.78514425692677769</v>
      </c>
      <c r="I129" s="81">
        <v>0.78197866571816699</v>
      </c>
      <c r="J129" s="81">
        <f t="shared" si="18"/>
        <v>-4.0318593439140349E-3</v>
      </c>
      <c r="K129" s="56">
        <f t="shared" si="30"/>
        <v>-0.31655912086107074</v>
      </c>
      <c r="L129" s="81"/>
    </row>
    <row r="130" spans="2:12" x14ac:dyDescent="0.25">
      <c r="B130" s="22"/>
      <c r="C130" s="55"/>
      <c r="D130" s="24" t="s">
        <v>51</v>
      </c>
      <c r="E130" s="81">
        <v>0.36499762261804614</v>
      </c>
      <c r="F130" s="81">
        <v>0.56873278935009208</v>
      </c>
      <c r="G130" s="81">
        <v>0.62226451526988635</v>
      </c>
      <c r="H130" s="81">
        <v>0.60640340126462833</v>
      </c>
      <c r="I130" s="81">
        <v>0.60505418306309833</v>
      </c>
      <c r="J130" s="81">
        <f t="shared" si="18"/>
        <v>-2.2249515730226044E-3</v>
      </c>
      <c r="K130" s="56">
        <f t="shared" si="30"/>
        <v>-0.13492182015300003</v>
      </c>
      <c r="L130" s="81"/>
    </row>
    <row r="131" spans="2:12" x14ac:dyDescent="0.25">
      <c r="B131" s="22"/>
      <c r="C131" s="55"/>
      <c r="D131" s="24" t="s">
        <v>52</v>
      </c>
      <c r="E131" s="81">
        <v>0.66839387359896718</v>
      </c>
      <c r="F131" s="81">
        <v>0.79976956587976633</v>
      </c>
      <c r="G131" s="81">
        <v>0.81366313363808662</v>
      </c>
      <c r="H131" s="81">
        <v>0.8518881174213202</v>
      </c>
      <c r="I131" s="81">
        <v>0.83949418815627375</v>
      </c>
      <c r="J131" s="81">
        <f t="shared" si="18"/>
        <v>-1.4548775844606343E-2</v>
      </c>
      <c r="K131" s="56">
        <f t="shared" si="30"/>
        <v>-1.2393929265046455</v>
      </c>
      <c r="L131" s="81"/>
    </row>
    <row r="132" spans="2:12" x14ac:dyDescent="0.25">
      <c r="B132" s="22"/>
      <c r="C132" s="55"/>
      <c r="D132" s="24" t="s">
        <v>53</v>
      </c>
      <c r="E132" s="81">
        <v>0.36710470891251973</v>
      </c>
      <c r="F132" s="81">
        <v>0.53640054315657537</v>
      </c>
      <c r="G132" s="81">
        <v>0.55102850551985505</v>
      </c>
      <c r="H132" s="81">
        <v>0.57920398516004346</v>
      </c>
      <c r="I132" s="81">
        <v>0.61421198116283082</v>
      </c>
      <c r="J132" s="81">
        <f t="shared" si="18"/>
        <v>6.0441566183482065E-2</v>
      </c>
      <c r="K132" s="56">
        <f t="shared" si="30"/>
        <v>3.5007996002787367</v>
      </c>
      <c r="L132" s="81"/>
    </row>
    <row r="133" spans="2:12" x14ac:dyDescent="0.25">
      <c r="B133" s="22"/>
      <c r="C133" s="55"/>
      <c r="D133" s="24" t="s">
        <v>54</v>
      </c>
      <c r="E133" s="81">
        <v>0.37046791956066843</v>
      </c>
      <c r="F133" s="81">
        <v>0.73677340932757318</v>
      </c>
      <c r="G133" s="81">
        <v>0.80543894470342625</v>
      </c>
      <c r="H133" s="81">
        <v>0.84649287994037692</v>
      </c>
      <c r="I133" s="81">
        <v>0.84837465136064494</v>
      </c>
      <c r="J133" s="81">
        <f t="shared" si="18"/>
        <v>2.2230209666980194E-3</v>
      </c>
      <c r="K133" s="56">
        <f t="shared" si="30"/>
        <v>0.18817714202680191</v>
      </c>
      <c r="L133" s="27"/>
    </row>
    <row r="134" spans="2:12" x14ac:dyDescent="0.25">
      <c r="B134" s="22"/>
      <c r="C134" s="57"/>
      <c r="D134" s="29" t="s">
        <v>55</v>
      </c>
      <c r="E134" s="81">
        <v>0.23482344779552347</v>
      </c>
      <c r="F134" s="81">
        <v>0.5020182606140241</v>
      </c>
      <c r="G134" s="81">
        <v>0.69757276683561598</v>
      </c>
      <c r="H134" s="81">
        <v>0.65969651803577634</v>
      </c>
      <c r="I134" s="81">
        <v>0.65333671896683065</v>
      </c>
      <c r="J134" s="81">
        <f t="shared" si="18"/>
        <v>-9.6404920976114195E-3</v>
      </c>
      <c r="K134" s="56">
        <f t="shared" si="30"/>
        <v>-0.63597990689456818</v>
      </c>
      <c r="L134" s="58"/>
    </row>
    <row r="135" spans="2:12" x14ac:dyDescent="0.25">
      <c r="B135" s="22"/>
      <c r="C135" s="59" t="s">
        <v>39</v>
      </c>
      <c r="D135" s="86" t="s">
        <v>45</v>
      </c>
      <c r="E135" s="87">
        <v>71127.555555555562</v>
      </c>
      <c r="F135" s="87">
        <v>123056.66666666667</v>
      </c>
      <c r="G135" s="87">
        <v>125209.88888888889</v>
      </c>
      <c r="H135" s="87">
        <v>127085.55555555556</v>
      </c>
      <c r="I135" s="87">
        <v>125236.22222222222</v>
      </c>
      <c r="J135" s="88">
        <f t="shared" si="18"/>
        <v>-1.4551876688495113E-2</v>
      </c>
      <c r="K135" s="87">
        <f t="shared" ref="K135:K136" si="31">I135-H135</f>
        <v>-1849.333333333343</v>
      </c>
      <c r="L135" s="88">
        <f>I135/$I$135</f>
        <v>1</v>
      </c>
    </row>
    <row r="136" spans="2:12" x14ac:dyDescent="0.25">
      <c r="B136" s="22"/>
      <c r="C136" s="36"/>
      <c r="D136" s="33" t="s">
        <v>46</v>
      </c>
      <c r="E136" s="34">
        <v>25728.333333333332</v>
      </c>
      <c r="F136" s="34">
        <v>44020.777777777781</v>
      </c>
      <c r="G136" s="34">
        <v>45688.888888888891</v>
      </c>
      <c r="H136" s="34">
        <v>46356.222222222219</v>
      </c>
      <c r="I136" s="34">
        <v>44710.111111111109</v>
      </c>
      <c r="J136" s="45">
        <f t="shared" si="18"/>
        <v>-3.5510035809647955E-2</v>
      </c>
      <c r="K136" s="34">
        <f t="shared" si="31"/>
        <v>-1646.1111111111095</v>
      </c>
      <c r="L136" s="47">
        <f t="shared" ref="L136:L145" si="32">I136/$I$135</f>
        <v>0.35700622645560476</v>
      </c>
    </row>
    <row r="137" spans="2:12" x14ac:dyDescent="0.25">
      <c r="B137" s="22"/>
      <c r="C137" s="36"/>
      <c r="D137" s="4" t="s">
        <v>47</v>
      </c>
      <c r="E137" s="37">
        <v>20162</v>
      </c>
      <c r="F137" s="37">
        <v>37935.555555555555</v>
      </c>
      <c r="G137" s="37">
        <v>37454.444444444445</v>
      </c>
      <c r="H137" s="37">
        <v>37738.555555555555</v>
      </c>
      <c r="I137" s="37">
        <v>37292.555555555555</v>
      </c>
      <c r="J137" s="97">
        <f>I137/H137-1</f>
        <v>-1.1818152375849045E-2</v>
      </c>
      <c r="K137" s="37">
        <f>I137-H137</f>
        <v>-446</v>
      </c>
      <c r="L137" s="98">
        <f t="shared" si="32"/>
        <v>0.29777771074396298</v>
      </c>
    </row>
    <row r="138" spans="2:12" x14ac:dyDescent="0.25">
      <c r="B138" s="22"/>
      <c r="C138" s="36"/>
      <c r="D138" s="4" t="s">
        <v>48</v>
      </c>
      <c r="E138" s="37">
        <v>624.22222222222217</v>
      </c>
      <c r="F138" s="37">
        <v>840.66666666666663</v>
      </c>
      <c r="G138" s="37">
        <v>895.44444444444446</v>
      </c>
      <c r="H138" s="37">
        <v>895.88888888888891</v>
      </c>
      <c r="I138" s="37">
        <v>914.33333333333337</v>
      </c>
      <c r="J138" s="97">
        <f t="shared" ref="J138:J145" si="33">I138/H138-1</f>
        <v>2.0587870519657603E-2</v>
      </c>
      <c r="K138" s="37">
        <f t="shared" ref="K138:K145" si="34">I138-H138</f>
        <v>18.444444444444457</v>
      </c>
      <c r="L138" s="98">
        <f t="shared" si="32"/>
        <v>7.3008696454522392E-3</v>
      </c>
    </row>
    <row r="139" spans="2:12" x14ac:dyDescent="0.25">
      <c r="B139" s="22"/>
      <c r="C139" s="36"/>
      <c r="D139" s="4" t="s">
        <v>49</v>
      </c>
      <c r="E139" s="37">
        <v>3860</v>
      </c>
      <c r="F139" s="37">
        <v>4562</v>
      </c>
      <c r="G139" s="37">
        <v>4403.1111111111113</v>
      </c>
      <c r="H139" s="37">
        <v>4363.333333333333</v>
      </c>
      <c r="I139" s="37">
        <v>4616</v>
      </c>
      <c r="J139" s="97">
        <f t="shared" si="33"/>
        <v>5.7906799083269789E-2</v>
      </c>
      <c r="K139" s="37">
        <f t="shared" si="34"/>
        <v>252.66666666666697</v>
      </c>
      <c r="L139" s="98">
        <f t="shared" si="32"/>
        <v>3.685834591696048E-2</v>
      </c>
    </row>
    <row r="140" spans="2:12" x14ac:dyDescent="0.25">
      <c r="B140" s="22"/>
      <c r="C140" s="36"/>
      <c r="D140" s="4" t="s">
        <v>50</v>
      </c>
      <c r="E140" s="37">
        <v>9187.7777777777774</v>
      </c>
      <c r="F140" s="37">
        <v>18350.777777777777</v>
      </c>
      <c r="G140" s="37">
        <v>19134.444444444445</v>
      </c>
      <c r="H140" s="37">
        <v>20029.333333333332</v>
      </c>
      <c r="I140" s="37">
        <v>20001.888888888891</v>
      </c>
      <c r="J140" s="97">
        <f t="shared" si="33"/>
        <v>-1.370212577109009E-3</v>
      </c>
      <c r="K140" s="37">
        <f t="shared" si="34"/>
        <v>-27.444444444441615</v>
      </c>
      <c r="L140" s="98">
        <f t="shared" si="32"/>
        <v>0.15971328848771124</v>
      </c>
    </row>
    <row r="141" spans="2:12" x14ac:dyDescent="0.25">
      <c r="B141" s="22"/>
      <c r="C141" s="36"/>
      <c r="D141" s="4" t="s">
        <v>51</v>
      </c>
      <c r="E141" s="37">
        <v>500.55555555555554</v>
      </c>
      <c r="F141" s="37">
        <v>650.33333333333337</v>
      </c>
      <c r="G141" s="37">
        <v>660.22222222222217</v>
      </c>
      <c r="H141" s="37">
        <v>673</v>
      </c>
      <c r="I141" s="37">
        <v>673</v>
      </c>
      <c r="J141" s="97">
        <f t="shared" si="33"/>
        <v>0</v>
      </c>
      <c r="K141" s="37">
        <f t="shared" si="34"/>
        <v>0</v>
      </c>
      <c r="L141" s="98">
        <f t="shared" si="32"/>
        <v>5.3738446278410752E-3</v>
      </c>
    </row>
    <row r="142" spans="2:12" x14ac:dyDescent="0.25">
      <c r="B142" s="22"/>
      <c r="C142" s="36"/>
      <c r="D142" s="4" t="s">
        <v>52</v>
      </c>
      <c r="E142" s="37">
        <v>2487.3333333333335</v>
      </c>
      <c r="F142" s="37">
        <v>4398.7777777777774</v>
      </c>
      <c r="G142" s="37">
        <v>4791</v>
      </c>
      <c r="H142" s="37">
        <v>4797</v>
      </c>
      <c r="I142" s="37">
        <v>4755</v>
      </c>
      <c r="J142" s="97">
        <f t="shared" si="33"/>
        <v>-8.7554721701063043E-3</v>
      </c>
      <c r="K142" s="37">
        <f t="shared" si="34"/>
        <v>-42</v>
      </c>
      <c r="L142" s="98">
        <f t="shared" si="32"/>
        <v>3.7968248447822164E-2</v>
      </c>
    </row>
    <row r="143" spans="2:12" x14ac:dyDescent="0.25">
      <c r="B143" s="22"/>
      <c r="C143" s="36"/>
      <c r="D143" s="4" t="s">
        <v>53</v>
      </c>
      <c r="E143" s="37">
        <v>2196.5555555555557</v>
      </c>
      <c r="F143" s="37">
        <v>2629.6666666666665</v>
      </c>
      <c r="G143" s="37">
        <v>2779.4444444444443</v>
      </c>
      <c r="H143" s="37">
        <v>2726.7777777777778</v>
      </c>
      <c r="I143" s="37">
        <v>2674.6666666666665</v>
      </c>
      <c r="J143" s="97">
        <f t="shared" si="33"/>
        <v>-1.9110875677437855E-2</v>
      </c>
      <c r="K143" s="37">
        <f t="shared" si="34"/>
        <v>-52.111111111111313</v>
      </c>
      <c r="L143" s="98">
        <f t="shared" si="32"/>
        <v>2.1356973399602172E-2</v>
      </c>
    </row>
    <row r="144" spans="2:12" x14ac:dyDescent="0.25">
      <c r="B144" s="22"/>
      <c r="C144" s="36"/>
      <c r="D144" s="4" t="s">
        <v>54</v>
      </c>
      <c r="E144" s="37">
        <v>3719.3333333333335</v>
      </c>
      <c r="F144" s="37">
        <v>6412.666666666667</v>
      </c>
      <c r="G144" s="37">
        <v>6335.666666666667</v>
      </c>
      <c r="H144" s="37">
        <v>6415</v>
      </c>
      <c r="I144" s="37">
        <v>6497</v>
      </c>
      <c r="J144" s="49">
        <f t="shared" si="33"/>
        <v>1.278254091971931E-2</v>
      </c>
      <c r="K144" s="37">
        <f t="shared" si="34"/>
        <v>82</v>
      </c>
      <c r="L144" s="51">
        <f t="shared" si="32"/>
        <v>5.1877962179915998E-2</v>
      </c>
    </row>
    <row r="145" spans="2:12" x14ac:dyDescent="0.25">
      <c r="B145" s="61"/>
      <c r="C145" s="40"/>
      <c r="D145" s="41" t="s">
        <v>55</v>
      </c>
      <c r="E145" s="92">
        <v>2661.4444444444443</v>
      </c>
      <c r="F145" s="92">
        <v>3255.4444444444443</v>
      </c>
      <c r="G145" s="92">
        <v>3067.2222222222222</v>
      </c>
      <c r="H145" s="92">
        <v>3090.4444444444443</v>
      </c>
      <c r="I145" s="92">
        <v>3101.6666666666665</v>
      </c>
      <c r="J145" s="83">
        <f t="shared" si="33"/>
        <v>3.6312648306608963E-3</v>
      </c>
      <c r="K145" s="92">
        <f t="shared" si="34"/>
        <v>11.222222222222172</v>
      </c>
      <c r="L145" s="73">
        <f t="shared" si="32"/>
        <v>2.4766530095126898E-2</v>
      </c>
    </row>
    <row r="146" spans="2:12" ht="6" customHeight="1" x14ac:dyDescent="0.25">
      <c r="B146" s="63"/>
      <c r="C146" s="63"/>
      <c r="D146" s="63"/>
      <c r="E146" s="63"/>
      <c r="F146" s="63"/>
      <c r="G146" s="63"/>
      <c r="H146" s="63"/>
      <c r="I146" s="63"/>
      <c r="J146" s="63"/>
      <c r="K146" s="63"/>
      <c r="L146" s="64"/>
    </row>
    <row r="147" spans="2:12" x14ac:dyDescent="0.25">
      <c r="B147" s="66" t="s">
        <v>57</v>
      </c>
      <c r="C147" s="66"/>
      <c r="D147" s="66"/>
      <c r="E147" s="66"/>
      <c r="F147" s="66"/>
      <c r="G147" s="66"/>
      <c r="H147" s="66"/>
      <c r="I147" s="66"/>
      <c r="J147" s="66"/>
      <c r="K147" s="66"/>
    </row>
    <row r="148" spans="2:12" x14ac:dyDescent="0.25">
      <c r="B148" s="82"/>
    </row>
    <row r="150" spans="2:12" ht="21.75" thickBot="1" x14ac:dyDescent="0.3">
      <c r="B150" s="12" t="s">
        <v>58</v>
      </c>
      <c r="C150" s="12"/>
      <c r="D150" s="12"/>
      <c r="E150" s="12"/>
      <c r="F150" s="12"/>
      <c r="G150" s="12"/>
      <c r="H150" s="12"/>
      <c r="I150" s="12"/>
      <c r="J150" s="12"/>
      <c r="K150" s="12"/>
      <c r="L150" s="13"/>
    </row>
    <row r="151" spans="2:12" ht="15.75" thickBot="1" x14ac:dyDescent="0.3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</row>
    <row r="152" spans="2:12" x14ac:dyDescent="0.25">
      <c r="B152" s="4"/>
      <c r="C152" s="4"/>
      <c r="D152" s="4"/>
      <c r="E152" s="15">
        <v>2020</v>
      </c>
      <c r="F152" s="15">
        <v>2021</v>
      </c>
      <c r="G152" s="15">
        <v>2022</v>
      </c>
      <c r="H152" s="15">
        <v>2023</v>
      </c>
      <c r="I152" s="15">
        <v>2024</v>
      </c>
      <c r="J152" s="15" t="str">
        <f>CONCATENATE("var. ",RIGHT(I152,2),"/",RIGHT(H152,2))</f>
        <v>var. 24/23</v>
      </c>
      <c r="K152" s="15" t="str">
        <f>CONCATENATE("dif. ",RIGHT(I152,2),"/",RIGHT(H152,2))</f>
        <v>dif. 24/23</v>
      </c>
      <c r="L152" s="15" t="str">
        <f>CONCATENATE("cuota ",I152)</f>
        <v>cuota 2024</v>
      </c>
    </row>
    <row r="153" spans="2:12" x14ac:dyDescent="0.25">
      <c r="B153" s="16" t="s">
        <v>44</v>
      </c>
      <c r="C153" s="17" t="s">
        <v>8</v>
      </c>
      <c r="D153" s="86" t="s">
        <v>45</v>
      </c>
      <c r="E153" s="87">
        <v>1565303</v>
      </c>
      <c r="F153" s="87">
        <v>2335438</v>
      </c>
      <c r="G153" s="87">
        <v>4757683</v>
      </c>
      <c r="H153" s="87">
        <v>5188807</v>
      </c>
      <c r="I153" s="87">
        <v>5480280</v>
      </c>
      <c r="J153" s="88">
        <f>I153/H153-1</f>
        <v>5.6173413272068151E-2</v>
      </c>
      <c r="K153" s="87">
        <f>I153-H153</f>
        <v>291473</v>
      </c>
      <c r="L153" s="88">
        <f>I153/$I$153</f>
        <v>1</v>
      </c>
    </row>
    <row r="154" spans="2:12" x14ac:dyDescent="0.25">
      <c r="B154" s="22"/>
      <c r="C154" s="23"/>
      <c r="D154" s="18" t="s">
        <v>46</v>
      </c>
      <c r="E154" s="19">
        <v>550867</v>
      </c>
      <c r="F154" s="19">
        <v>881045</v>
      </c>
      <c r="G154" s="19">
        <v>1757049</v>
      </c>
      <c r="H154" s="19">
        <v>1888332</v>
      </c>
      <c r="I154" s="19">
        <v>1938898</v>
      </c>
      <c r="J154" s="21">
        <f t="shared" ref="J154" si="35">I154/H154-1</f>
        <v>2.677813011694985E-2</v>
      </c>
      <c r="K154" s="19">
        <f t="shared" ref="K154" si="36">I154-H154</f>
        <v>50566</v>
      </c>
      <c r="L154" s="21">
        <f t="shared" ref="L154:L163" si="37">I154/$I$153</f>
        <v>0.35379542651105417</v>
      </c>
    </row>
    <row r="155" spans="2:12" x14ac:dyDescent="0.25">
      <c r="B155" s="22"/>
      <c r="C155" s="23"/>
      <c r="D155" s="24" t="s">
        <v>47</v>
      </c>
      <c r="E155" s="25">
        <v>375345</v>
      </c>
      <c r="F155" s="25">
        <v>492258</v>
      </c>
      <c r="G155" s="25">
        <v>1243535</v>
      </c>
      <c r="H155" s="25">
        <v>1319978</v>
      </c>
      <c r="I155" s="25">
        <v>1387823</v>
      </c>
      <c r="J155" s="81">
        <f>I155/H155-1</f>
        <v>5.139858391579244E-2</v>
      </c>
      <c r="K155" s="25">
        <f>I155-H155</f>
        <v>67845</v>
      </c>
      <c r="L155" s="81">
        <f t="shared" si="37"/>
        <v>0.2532394330216704</v>
      </c>
    </row>
    <row r="156" spans="2:12" x14ac:dyDescent="0.25">
      <c r="B156" s="22"/>
      <c r="C156" s="23"/>
      <c r="D156" s="24" t="s">
        <v>48</v>
      </c>
      <c r="E156" s="25">
        <v>12633</v>
      </c>
      <c r="F156" s="25">
        <v>20161</v>
      </c>
      <c r="G156" s="25">
        <v>37751</v>
      </c>
      <c r="H156" s="25">
        <v>51166</v>
      </c>
      <c r="I156" s="25">
        <v>43737</v>
      </c>
      <c r="J156" s="81">
        <f t="shared" ref="J156:J218" si="38">I156/H156-1</f>
        <v>-0.14519407418989172</v>
      </c>
      <c r="K156" s="25">
        <f t="shared" ref="K156:K185" si="39">I156-H156</f>
        <v>-7429</v>
      </c>
      <c r="L156" s="81">
        <f t="shared" si="37"/>
        <v>7.9807966016334931E-3</v>
      </c>
    </row>
    <row r="157" spans="2:12" x14ac:dyDescent="0.25">
      <c r="B157" s="22"/>
      <c r="C157" s="23"/>
      <c r="D157" s="24" t="s">
        <v>49</v>
      </c>
      <c r="E157" s="25">
        <v>55313</v>
      </c>
      <c r="F157" s="25">
        <v>70304</v>
      </c>
      <c r="G157" s="25">
        <v>161080</v>
      </c>
      <c r="H157" s="25">
        <v>179837</v>
      </c>
      <c r="I157" s="25">
        <v>231856</v>
      </c>
      <c r="J157" s="81">
        <f t="shared" si="38"/>
        <v>0.28925638216829674</v>
      </c>
      <c r="K157" s="25">
        <f t="shared" si="39"/>
        <v>52019</v>
      </c>
      <c r="L157" s="81">
        <f t="shared" si="37"/>
        <v>4.2307327362835476E-2</v>
      </c>
    </row>
    <row r="158" spans="2:12" x14ac:dyDescent="0.25">
      <c r="B158" s="22"/>
      <c r="C158" s="23"/>
      <c r="D158" s="24" t="s">
        <v>50</v>
      </c>
      <c r="E158" s="25">
        <v>225835</v>
      </c>
      <c r="F158" s="25">
        <v>354204</v>
      </c>
      <c r="G158" s="25">
        <v>710225</v>
      </c>
      <c r="H158" s="25">
        <v>797848</v>
      </c>
      <c r="I158" s="25">
        <v>914356</v>
      </c>
      <c r="J158" s="81">
        <f t="shared" si="38"/>
        <v>0.14602781482187077</v>
      </c>
      <c r="K158" s="25">
        <f t="shared" si="39"/>
        <v>116508</v>
      </c>
      <c r="L158" s="81">
        <f t="shared" si="37"/>
        <v>0.16684475975680074</v>
      </c>
    </row>
    <row r="159" spans="2:12" x14ac:dyDescent="0.25">
      <c r="B159" s="22"/>
      <c r="C159" s="23"/>
      <c r="D159" s="24" t="s">
        <v>51</v>
      </c>
      <c r="E159" s="25">
        <v>24221</v>
      </c>
      <c r="F159" s="25">
        <v>33444</v>
      </c>
      <c r="G159" s="25">
        <v>51485</v>
      </c>
      <c r="H159" s="25">
        <v>58157</v>
      </c>
      <c r="I159" s="25">
        <v>57388</v>
      </c>
      <c r="J159" s="81">
        <f t="shared" si="38"/>
        <v>-1.3222827862510056E-2</v>
      </c>
      <c r="K159" s="25">
        <f t="shared" si="39"/>
        <v>-769</v>
      </c>
      <c r="L159" s="81">
        <f t="shared" si="37"/>
        <v>1.0471727721941215E-2</v>
      </c>
    </row>
    <row r="160" spans="2:12" x14ac:dyDescent="0.25">
      <c r="B160" s="22"/>
      <c r="C160" s="23"/>
      <c r="D160" s="24" t="s">
        <v>52</v>
      </c>
      <c r="E160" s="25">
        <v>77467</v>
      </c>
      <c r="F160" s="25">
        <v>107459</v>
      </c>
      <c r="G160" s="25">
        <v>198873</v>
      </c>
      <c r="H160" s="25">
        <v>252588</v>
      </c>
      <c r="I160" s="25">
        <v>239146</v>
      </c>
      <c r="J160" s="81">
        <f t="shared" si="38"/>
        <v>-5.3217096615832848E-2</v>
      </c>
      <c r="K160" s="25">
        <f t="shared" si="39"/>
        <v>-13442</v>
      </c>
      <c r="L160" s="81">
        <f t="shared" si="37"/>
        <v>4.3637551365988597E-2</v>
      </c>
    </row>
    <row r="161" spans="2:12" x14ac:dyDescent="0.25">
      <c r="B161" s="22"/>
      <c r="C161" s="23"/>
      <c r="D161" s="24" t="s">
        <v>53</v>
      </c>
      <c r="E161" s="25">
        <v>103516</v>
      </c>
      <c r="F161" s="25">
        <v>164258</v>
      </c>
      <c r="G161" s="25">
        <v>229131</v>
      </c>
      <c r="H161" s="25">
        <v>239109</v>
      </c>
      <c r="I161" s="25">
        <v>250871</v>
      </c>
      <c r="J161" s="81">
        <f t="shared" si="38"/>
        <v>4.9190954752853289E-2</v>
      </c>
      <c r="K161" s="25">
        <f t="shared" si="39"/>
        <v>11762</v>
      </c>
      <c r="L161" s="81">
        <f t="shared" si="37"/>
        <v>4.5777040589166977E-2</v>
      </c>
    </row>
    <row r="162" spans="2:12" x14ac:dyDescent="0.25">
      <c r="B162" s="22"/>
      <c r="C162" s="23"/>
      <c r="D162" s="24" t="s">
        <v>54</v>
      </c>
      <c r="E162" s="25">
        <v>96681</v>
      </c>
      <c r="F162" s="25">
        <v>140346</v>
      </c>
      <c r="G162" s="25">
        <v>257117</v>
      </c>
      <c r="H162" s="25">
        <v>278594</v>
      </c>
      <c r="I162" s="25">
        <v>287810</v>
      </c>
      <c r="J162" s="27">
        <f t="shared" si="38"/>
        <v>3.3080396562739978E-2</v>
      </c>
      <c r="K162" s="25">
        <f t="shared" si="39"/>
        <v>9216</v>
      </c>
      <c r="L162" s="27">
        <f t="shared" si="37"/>
        <v>5.2517389622428051E-2</v>
      </c>
    </row>
    <row r="163" spans="2:12" x14ac:dyDescent="0.25">
      <c r="B163" s="22"/>
      <c r="C163" s="28"/>
      <c r="D163" s="29" t="s">
        <v>55</v>
      </c>
      <c r="E163" s="90">
        <v>43425</v>
      </c>
      <c r="F163" s="90">
        <v>71959</v>
      </c>
      <c r="G163" s="90">
        <v>111437</v>
      </c>
      <c r="H163" s="90">
        <v>123198</v>
      </c>
      <c r="I163" s="90">
        <v>128395</v>
      </c>
      <c r="J163" s="58">
        <f t="shared" si="38"/>
        <v>4.2184126365687691E-2</v>
      </c>
      <c r="K163" s="90">
        <f t="shared" si="39"/>
        <v>5197</v>
      </c>
      <c r="L163" s="58">
        <f t="shared" si="37"/>
        <v>2.3428547446480836E-2</v>
      </c>
    </row>
    <row r="164" spans="2:12" x14ac:dyDescent="0.25">
      <c r="B164" s="22"/>
      <c r="C164" s="32" t="s">
        <v>18</v>
      </c>
      <c r="D164" s="86" t="s">
        <v>45</v>
      </c>
      <c r="E164" s="87">
        <v>1664028</v>
      </c>
      <c r="F164" s="87">
        <v>2347681</v>
      </c>
      <c r="G164" s="87">
        <v>4832844</v>
      </c>
      <c r="H164" s="87">
        <v>5281361</v>
      </c>
      <c r="I164" s="87">
        <v>5576793</v>
      </c>
      <c r="J164" s="88">
        <f>I164/H164-1</f>
        <v>5.5938611278418593E-2</v>
      </c>
      <c r="K164" s="87">
        <f>I164-H164</f>
        <v>295432</v>
      </c>
      <c r="L164" s="88">
        <f t="shared" ref="L164:L174" si="40">I164/$I$164</f>
        <v>1</v>
      </c>
    </row>
    <row r="165" spans="2:12" x14ac:dyDescent="0.25">
      <c r="B165" s="22"/>
      <c r="C165" s="36"/>
      <c r="D165" s="33" t="s">
        <v>46</v>
      </c>
      <c r="E165" s="34">
        <v>590539</v>
      </c>
      <c r="F165" s="34">
        <v>886032</v>
      </c>
      <c r="G165" s="34">
        <v>1785371</v>
      </c>
      <c r="H165" s="34">
        <v>1925016</v>
      </c>
      <c r="I165" s="34">
        <v>1977765</v>
      </c>
      <c r="J165" s="104">
        <f t="shared" ref="J165" si="41">I165/H165-1</f>
        <v>2.7401850166440145E-2</v>
      </c>
      <c r="K165" s="34">
        <f t="shared" ref="K165" si="42">I165-H165</f>
        <v>52749</v>
      </c>
      <c r="L165" s="47">
        <f t="shared" si="40"/>
        <v>0.35464199585675854</v>
      </c>
    </row>
    <row r="166" spans="2:12" x14ac:dyDescent="0.25">
      <c r="B166" s="22"/>
      <c r="C166" s="36"/>
      <c r="D166" s="4" t="s">
        <v>47</v>
      </c>
      <c r="E166" s="37">
        <v>404818</v>
      </c>
      <c r="F166" s="37">
        <v>494807</v>
      </c>
      <c r="G166" s="37">
        <v>1265143</v>
      </c>
      <c r="H166" s="37">
        <v>1346080</v>
      </c>
      <c r="I166" s="37">
        <v>1414435</v>
      </c>
      <c r="J166" s="105">
        <f>I166/H166-1</f>
        <v>5.0780785688814944E-2</v>
      </c>
      <c r="K166" s="37">
        <f>I166-H166</f>
        <v>68355</v>
      </c>
      <c r="L166" s="98">
        <f t="shared" si="40"/>
        <v>0.25362874325799795</v>
      </c>
    </row>
    <row r="167" spans="2:12" x14ac:dyDescent="0.25">
      <c r="B167" s="22"/>
      <c r="C167" s="36"/>
      <c r="D167" s="4" t="s">
        <v>48</v>
      </c>
      <c r="E167" s="37">
        <v>13335</v>
      </c>
      <c r="F167" s="37">
        <v>20284</v>
      </c>
      <c r="G167" s="37">
        <v>38233</v>
      </c>
      <c r="H167" s="37">
        <v>51566</v>
      </c>
      <c r="I167" s="37">
        <v>44327</v>
      </c>
      <c r="J167" s="105">
        <f t="shared" ref="J167:J174" si="43">I167/H167-1</f>
        <v>-0.14038319823139278</v>
      </c>
      <c r="K167" s="37">
        <f t="shared" ref="K167:K174" si="44">I167-H167</f>
        <v>-7239</v>
      </c>
      <c r="L167" s="98">
        <f t="shared" si="40"/>
        <v>7.948475046500739E-3</v>
      </c>
    </row>
    <row r="168" spans="2:12" x14ac:dyDescent="0.25">
      <c r="B168" s="22"/>
      <c r="C168" s="36"/>
      <c r="D168" s="4" t="s">
        <v>49</v>
      </c>
      <c r="E168" s="37">
        <v>57877</v>
      </c>
      <c r="F168" s="37">
        <v>71245</v>
      </c>
      <c r="G168" s="37">
        <v>164270</v>
      </c>
      <c r="H168" s="37">
        <v>183368</v>
      </c>
      <c r="I168" s="37">
        <v>234780</v>
      </c>
      <c r="J168" s="105">
        <f t="shared" si="43"/>
        <v>0.28037607434230627</v>
      </c>
      <c r="K168" s="37">
        <f t="shared" si="44"/>
        <v>51412</v>
      </c>
      <c r="L168" s="98">
        <f t="shared" si="40"/>
        <v>4.2099464692341999E-2</v>
      </c>
    </row>
    <row r="169" spans="2:12" x14ac:dyDescent="0.25">
      <c r="B169" s="22"/>
      <c r="C169" s="36"/>
      <c r="D169" s="4" t="s">
        <v>50</v>
      </c>
      <c r="E169" s="37">
        <v>240954</v>
      </c>
      <c r="F169" s="37">
        <v>355287</v>
      </c>
      <c r="G169" s="37">
        <v>720575</v>
      </c>
      <c r="H169" s="37">
        <v>811299</v>
      </c>
      <c r="I169" s="37">
        <v>928708</v>
      </c>
      <c r="J169" s="105">
        <f t="shared" si="43"/>
        <v>0.14471729904757669</v>
      </c>
      <c r="K169" s="37">
        <f t="shared" si="44"/>
        <v>117409</v>
      </c>
      <c r="L169" s="98">
        <f t="shared" si="40"/>
        <v>0.16653083591232451</v>
      </c>
    </row>
    <row r="170" spans="2:12" x14ac:dyDescent="0.25">
      <c r="B170" s="22"/>
      <c r="C170" s="36"/>
      <c r="D170" s="4" t="s">
        <v>51</v>
      </c>
      <c r="E170" s="37">
        <v>24525</v>
      </c>
      <c r="F170" s="37">
        <v>33497</v>
      </c>
      <c r="G170" s="37">
        <v>51855</v>
      </c>
      <c r="H170" s="37">
        <v>58492</v>
      </c>
      <c r="I170" s="37">
        <v>57716</v>
      </c>
      <c r="J170" s="105">
        <f t="shared" si="43"/>
        <v>-1.3266771524310994E-2</v>
      </c>
      <c r="K170" s="37">
        <f t="shared" si="44"/>
        <v>-776</v>
      </c>
      <c r="L170" s="98">
        <f t="shared" si="40"/>
        <v>1.0349317250972019E-2</v>
      </c>
    </row>
    <row r="171" spans="2:12" x14ac:dyDescent="0.25">
      <c r="B171" s="22"/>
      <c r="C171" s="36"/>
      <c r="D171" s="4" t="s">
        <v>52</v>
      </c>
      <c r="E171" s="37">
        <v>80970</v>
      </c>
      <c r="F171" s="37">
        <v>108554</v>
      </c>
      <c r="G171" s="37">
        <v>202302</v>
      </c>
      <c r="H171" s="37">
        <v>255835</v>
      </c>
      <c r="I171" s="37">
        <v>243005</v>
      </c>
      <c r="J171" s="105">
        <f t="shared" si="43"/>
        <v>-5.0149510426642174E-2</v>
      </c>
      <c r="K171" s="37">
        <f t="shared" si="44"/>
        <v>-12830</v>
      </c>
      <c r="L171" s="98">
        <f t="shared" si="40"/>
        <v>4.3574326678433285E-2</v>
      </c>
    </row>
    <row r="172" spans="2:12" x14ac:dyDescent="0.25">
      <c r="B172" s="22"/>
      <c r="C172" s="36"/>
      <c r="D172" s="4" t="s">
        <v>53</v>
      </c>
      <c r="E172" s="37">
        <v>104957</v>
      </c>
      <c r="F172" s="37">
        <v>164413</v>
      </c>
      <c r="G172" s="37">
        <v>230406</v>
      </c>
      <c r="H172" s="37">
        <v>240602</v>
      </c>
      <c r="I172" s="37">
        <v>252566</v>
      </c>
      <c r="J172" s="105">
        <f t="shared" si="43"/>
        <v>4.9725272441625501E-2</v>
      </c>
      <c r="K172" s="37">
        <f t="shared" si="44"/>
        <v>11964</v>
      </c>
      <c r="L172" s="98">
        <f t="shared" si="40"/>
        <v>4.5288752872842869E-2</v>
      </c>
    </row>
    <row r="173" spans="2:12" x14ac:dyDescent="0.25">
      <c r="B173" s="22"/>
      <c r="C173" s="36"/>
      <c r="D173" s="4" t="s">
        <v>54</v>
      </c>
      <c r="E173" s="37">
        <v>100783</v>
      </c>
      <c r="F173" s="37">
        <v>141329</v>
      </c>
      <c r="G173" s="37">
        <v>261644</v>
      </c>
      <c r="H173" s="37">
        <v>283635</v>
      </c>
      <c r="I173" s="37">
        <v>293116</v>
      </c>
      <c r="J173" s="39">
        <f t="shared" si="43"/>
        <v>3.3426763269695181E-2</v>
      </c>
      <c r="K173" s="37">
        <f t="shared" si="44"/>
        <v>9481</v>
      </c>
      <c r="L173" s="51">
        <f t="shared" si="40"/>
        <v>5.2559956950168317E-2</v>
      </c>
    </row>
    <row r="174" spans="2:12" x14ac:dyDescent="0.25">
      <c r="B174" s="22"/>
      <c r="C174" s="40"/>
      <c r="D174" s="41" t="s">
        <v>55</v>
      </c>
      <c r="E174" s="92">
        <v>45270</v>
      </c>
      <c r="F174" s="92">
        <v>72233</v>
      </c>
      <c r="G174" s="92">
        <v>113045</v>
      </c>
      <c r="H174" s="92">
        <v>125468</v>
      </c>
      <c r="I174" s="92">
        <v>130375</v>
      </c>
      <c r="J174" s="93">
        <f t="shared" si="43"/>
        <v>3.9109573755857996E-2</v>
      </c>
      <c r="K174" s="92">
        <f t="shared" si="44"/>
        <v>4907</v>
      </c>
      <c r="L174" s="73">
        <f t="shared" si="40"/>
        <v>2.3378131481659799E-2</v>
      </c>
    </row>
    <row r="175" spans="2:12" x14ac:dyDescent="0.25">
      <c r="B175" s="22"/>
      <c r="C175" s="17" t="s">
        <v>21</v>
      </c>
      <c r="D175" s="86" t="s">
        <v>45</v>
      </c>
      <c r="E175" s="87">
        <v>10243785</v>
      </c>
      <c r="F175" s="87">
        <v>13903380</v>
      </c>
      <c r="G175" s="87">
        <v>31405937</v>
      </c>
      <c r="H175" s="87">
        <v>34509923</v>
      </c>
      <c r="I175" s="87">
        <v>36076748</v>
      </c>
      <c r="J175" s="88">
        <f t="shared" si="38"/>
        <v>4.540215867766495E-2</v>
      </c>
      <c r="K175" s="87">
        <f t="shared" si="39"/>
        <v>1566825</v>
      </c>
      <c r="L175" s="88">
        <f>I175/$I$175</f>
        <v>1</v>
      </c>
    </row>
    <row r="176" spans="2:12" x14ac:dyDescent="0.25">
      <c r="B176" s="22"/>
      <c r="C176" s="23"/>
      <c r="D176" s="18" t="s">
        <v>46</v>
      </c>
      <c r="E176" s="19">
        <v>3913809</v>
      </c>
      <c r="F176" s="19">
        <v>5763674</v>
      </c>
      <c r="G176" s="19">
        <v>12632387</v>
      </c>
      <c r="H176" s="19">
        <v>13590517</v>
      </c>
      <c r="I176" s="19">
        <v>13839613</v>
      </c>
      <c r="J176" s="21">
        <f t="shared" si="38"/>
        <v>1.8328662551983843E-2</v>
      </c>
      <c r="K176" s="19">
        <f t="shared" si="39"/>
        <v>249096</v>
      </c>
      <c r="L176" s="21">
        <f t="shared" ref="L176:L185" si="45">I176/$I$175</f>
        <v>0.38361586803777326</v>
      </c>
    </row>
    <row r="177" spans="2:12" x14ac:dyDescent="0.25">
      <c r="B177" s="22"/>
      <c r="C177" s="23"/>
      <c r="D177" s="24" t="s">
        <v>47</v>
      </c>
      <c r="E177" s="25">
        <v>2858440</v>
      </c>
      <c r="F177" s="25">
        <v>3367162</v>
      </c>
      <c r="G177" s="25">
        <v>8865243</v>
      </c>
      <c r="H177" s="25">
        <v>9739308</v>
      </c>
      <c r="I177" s="25">
        <v>10014981</v>
      </c>
      <c r="J177" s="81">
        <f t="shared" si="38"/>
        <v>2.8305193757092395E-2</v>
      </c>
      <c r="K177" s="25">
        <f t="shared" si="39"/>
        <v>275673</v>
      </c>
      <c r="L177" s="81">
        <f t="shared" si="45"/>
        <v>0.2776020998344973</v>
      </c>
    </row>
    <row r="178" spans="2:12" x14ac:dyDescent="0.25">
      <c r="B178" s="22"/>
      <c r="C178" s="23"/>
      <c r="D178" s="24" t="s">
        <v>48</v>
      </c>
      <c r="E178" s="25">
        <v>65275</v>
      </c>
      <c r="F178" s="25">
        <v>98762</v>
      </c>
      <c r="G178" s="25">
        <v>168339</v>
      </c>
      <c r="H178" s="25">
        <v>182035</v>
      </c>
      <c r="I178" s="25">
        <v>194642</v>
      </c>
      <c r="J178" s="81">
        <f t="shared" si="38"/>
        <v>6.925591232455286E-2</v>
      </c>
      <c r="K178" s="25">
        <f t="shared" si="39"/>
        <v>12607</v>
      </c>
      <c r="L178" s="81">
        <f t="shared" si="45"/>
        <v>5.3952202121987274E-3</v>
      </c>
    </row>
    <row r="179" spans="2:12" x14ac:dyDescent="0.25">
      <c r="B179" s="22"/>
      <c r="C179" s="23"/>
      <c r="D179" s="24" t="s">
        <v>49</v>
      </c>
      <c r="E179" s="25">
        <v>295880</v>
      </c>
      <c r="F179" s="25">
        <v>419370</v>
      </c>
      <c r="G179" s="25">
        <v>1014697</v>
      </c>
      <c r="H179" s="25">
        <v>1034949</v>
      </c>
      <c r="I179" s="25">
        <v>1361415</v>
      </c>
      <c r="J179" s="81">
        <f t="shared" si="38"/>
        <v>0.31544163045715301</v>
      </c>
      <c r="K179" s="25">
        <f t="shared" si="39"/>
        <v>326466</v>
      </c>
      <c r="L179" s="81">
        <f t="shared" si="45"/>
        <v>3.7736633024683934E-2</v>
      </c>
    </row>
    <row r="180" spans="2:12" x14ac:dyDescent="0.25">
      <c r="B180" s="22"/>
      <c r="C180" s="23"/>
      <c r="D180" s="24" t="s">
        <v>50</v>
      </c>
      <c r="E180" s="25">
        <v>1546641</v>
      </c>
      <c r="F180" s="25">
        <v>1967362</v>
      </c>
      <c r="G180" s="25">
        <v>4352393</v>
      </c>
      <c r="H180" s="25">
        <v>5123327</v>
      </c>
      <c r="I180" s="25">
        <v>5751799</v>
      </c>
      <c r="J180" s="81">
        <f t="shared" si="38"/>
        <v>0.12266872678632468</v>
      </c>
      <c r="K180" s="25">
        <f t="shared" si="39"/>
        <v>628472</v>
      </c>
      <c r="L180" s="81">
        <f t="shared" si="45"/>
        <v>0.15943230249023554</v>
      </c>
    </row>
    <row r="181" spans="2:12" x14ac:dyDescent="0.25">
      <c r="B181" s="22"/>
      <c r="C181" s="23"/>
      <c r="D181" s="24" t="s">
        <v>51</v>
      </c>
      <c r="E181" s="25">
        <v>59047</v>
      </c>
      <c r="F181" s="25">
        <v>83402</v>
      </c>
      <c r="G181" s="25">
        <v>137757</v>
      </c>
      <c r="H181" s="25">
        <v>148334</v>
      </c>
      <c r="I181" s="25">
        <v>152300</v>
      </c>
      <c r="J181" s="81">
        <f t="shared" si="38"/>
        <v>2.6736958485579887E-2</v>
      </c>
      <c r="K181" s="25">
        <f t="shared" si="39"/>
        <v>3966</v>
      </c>
      <c r="L181" s="81">
        <f t="shared" si="45"/>
        <v>4.2215556679332626E-3</v>
      </c>
    </row>
    <row r="182" spans="2:12" x14ac:dyDescent="0.25">
      <c r="B182" s="22"/>
      <c r="C182" s="23"/>
      <c r="D182" s="24" t="s">
        <v>52</v>
      </c>
      <c r="E182" s="25">
        <v>442013</v>
      </c>
      <c r="F182" s="25">
        <v>749212</v>
      </c>
      <c r="G182" s="25">
        <v>1316064</v>
      </c>
      <c r="H182" s="25">
        <v>1447168</v>
      </c>
      <c r="I182" s="25">
        <v>1453294</v>
      </c>
      <c r="J182" s="81">
        <f t="shared" si="38"/>
        <v>4.2330952591544957E-3</v>
      </c>
      <c r="K182" s="25">
        <f t="shared" si="39"/>
        <v>6126</v>
      </c>
      <c r="L182" s="81">
        <f t="shared" si="45"/>
        <v>4.0283398049070274E-2</v>
      </c>
    </row>
    <row r="183" spans="2:12" x14ac:dyDescent="0.25">
      <c r="B183" s="22"/>
      <c r="C183" s="23"/>
      <c r="D183" s="24" t="s">
        <v>53</v>
      </c>
      <c r="E183" s="25">
        <v>216673</v>
      </c>
      <c r="F183" s="25">
        <v>359169</v>
      </c>
      <c r="G183" s="25">
        <v>543499</v>
      </c>
      <c r="H183" s="25">
        <v>576462</v>
      </c>
      <c r="I183" s="25">
        <v>584273</v>
      </c>
      <c r="J183" s="81">
        <f t="shared" si="38"/>
        <v>1.3549895743344642E-2</v>
      </c>
      <c r="K183" s="25">
        <f t="shared" si="39"/>
        <v>7811</v>
      </c>
      <c r="L183" s="81">
        <f t="shared" si="45"/>
        <v>1.6195279020160019E-2</v>
      </c>
    </row>
    <row r="184" spans="2:12" x14ac:dyDescent="0.25">
      <c r="B184" s="22"/>
      <c r="C184" s="23"/>
      <c r="D184" s="24" t="s">
        <v>54</v>
      </c>
      <c r="E184" s="25">
        <v>610766</v>
      </c>
      <c r="F184" s="25">
        <v>774989</v>
      </c>
      <c r="G184" s="25">
        <v>1753117</v>
      </c>
      <c r="H184" s="25">
        <v>1886738</v>
      </c>
      <c r="I184" s="25">
        <v>1988780</v>
      </c>
      <c r="J184" s="27">
        <f t="shared" si="38"/>
        <v>5.4083820859069931E-2</v>
      </c>
      <c r="K184" s="25">
        <f t="shared" si="39"/>
        <v>102042</v>
      </c>
      <c r="L184" s="27">
        <f t="shared" si="45"/>
        <v>5.512636560257593E-2</v>
      </c>
    </row>
    <row r="185" spans="2:12" x14ac:dyDescent="0.25">
      <c r="B185" s="22"/>
      <c r="C185" s="28"/>
      <c r="D185" s="29" t="s">
        <v>55</v>
      </c>
      <c r="E185" s="90">
        <v>235241</v>
      </c>
      <c r="F185" s="90">
        <v>320278</v>
      </c>
      <c r="G185" s="90">
        <v>622441</v>
      </c>
      <c r="H185" s="90">
        <v>781085</v>
      </c>
      <c r="I185" s="90">
        <v>735651</v>
      </c>
      <c r="J185" s="58">
        <f t="shared" si="38"/>
        <v>-5.8167805040424514E-2</v>
      </c>
      <c r="K185" s="90">
        <f t="shared" si="39"/>
        <v>-45434</v>
      </c>
      <c r="L185" s="58">
        <f t="shared" si="45"/>
        <v>2.0391278060871782E-2</v>
      </c>
    </row>
    <row r="186" spans="2:12" x14ac:dyDescent="0.25">
      <c r="B186" s="22"/>
      <c r="C186" s="32" t="s">
        <v>22</v>
      </c>
      <c r="D186" s="86" t="s">
        <v>45</v>
      </c>
      <c r="E186" s="95">
        <f t="shared" ref="E186:I187" si="46">E175/E153</f>
        <v>6.5442824807720932</v>
      </c>
      <c r="F186" s="95">
        <f t="shared" si="46"/>
        <v>5.9532216226677823</v>
      </c>
      <c r="G186" s="95">
        <f t="shared" si="46"/>
        <v>6.6010991064347921</v>
      </c>
      <c r="H186" s="95">
        <f t="shared" si="46"/>
        <v>6.6508395860551373</v>
      </c>
      <c r="I186" s="95">
        <f t="shared" si="46"/>
        <v>6.583011816914464</v>
      </c>
      <c r="J186" s="88">
        <f t="shared" si="38"/>
        <v>-1.0198376951218058E-2</v>
      </c>
      <c r="K186" s="95">
        <f t="shared" ref="K186:K187" si="47">(I186-H186)</f>
        <v>-6.7827769140673233E-2</v>
      </c>
      <c r="L186" s="88"/>
    </row>
    <row r="187" spans="2:12" x14ac:dyDescent="0.25">
      <c r="B187" s="22"/>
      <c r="C187" s="36"/>
      <c r="D187" s="33" t="s">
        <v>46</v>
      </c>
      <c r="E187" s="46">
        <f t="shared" si="46"/>
        <v>7.1048165891222386</v>
      </c>
      <c r="F187" s="46">
        <f t="shared" si="46"/>
        <v>6.5418610854156141</v>
      </c>
      <c r="G187" s="46">
        <f t="shared" si="46"/>
        <v>7.1895473603752658</v>
      </c>
      <c r="H187" s="46">
        <f t="shared" si="46"/>
        <v>7.1971014630901768</v>
      </c>
      <c r="I187" s="46">
        <f t="shared" si="46"/>
        <v>7.1378757417873455</v>
      </c>
      <c r="J187" s="104">
        <f t="shared" si="38"/>
        <v>-8.2291074547949927E-3</v>
      </c>
      <c r="K187" s="46">
        <f t="shared" si="47"/>
        <v>-5.9225721302831325E-2</v>
      </c>
      <c r="L187" s="47"/>
    </row>
    <row r="188" spans="2:12" x14ac:dyDescent="0.25">
      <c r="B188" s="22"/>
      <c r="C188" s="36"/>
      <c r="D188" s="4" t="s">
        <v>47</v>
      </c>
      <c r="E188" s="50">
        <f>E177/E155</f>
        <v>7.6155004062928775</v>
      </c>
      <c r="F188" s="50">
        <f>F177/F155</f>
        <v>6.8402382490482632</v>
      </c>
      <c r="G188" s="50">
        <f>G177/G155</f>
        <v>7.1290659289847085</v>
      </c>
      <c r="H188" s="50">
        <f>H177/H155</f>
        <v>7.378386609473794</v>
      </c>
      <c r="I188" s="50">
        <f>I177/I155</f>
        <v>7.2163244160098223</v>
      </c>
      <c r="J188" s="105">
        <f t="shared" si="38"/>
        <v>-2.1964448603965181E-2</v>
      </c>
      <c r="K188" s="50">
        <f>(I188-H188)</f>
        <v>-0.16206219346397166</v>
      </c>
      <c r="L188" s="98"/>
    </row>
    <row r="189" spans="2:12" x14ac:dyDescent="0.25">
      <c r="B189" s="22"/>
      <c r="C189" s="36"/>
      <c r="D189" s="4" t="s">
        <v>48</v>
      </c>
      <c r="E189" s="50">
        <f t="shared" ref="E189:I196" si="48">E178/E156</f>
        <v>5.1670228765930499</v>
      </c>
      <c r="F189" s="50">
        <f t="shared" si="48"/>
        <v>4.8986657407866669</v>
      </c>
      <c r="G189" s="50">
        <f t="shared" si="48"/>
        <v>4.4591931339567168</v>
      </c>
      <c r="H189" s="50">
        <f t="shared" si="48"/>
        <v>3.5577336512527848</v>
      </c>
      <c r="I189" s="50">
        <f t="shared" si="48"/>
        <v>4.4502823696184013</v>
      </c>
      <c r="J189" s="105">
        <f t="shared" si="38"/>
        <v>0.25087564327681555</v>
      </c>
      <c r="K189" s="50">
        <f t="shared" ref="K189:K196" si="49">(I189-H189)</f>
        <v>0.89254871836561644</v>
      </c>
      <c r="L189" s="98"/>
    </row>
    <row r="190" spans="2:12" x14ac:dyDescent="0.25">
      <c r="B190" s="22"/>
      <c r="C190" s="36"/>
      <c r="D190" s="4" t="s">
        <v>49</v>
      </c>
      <c r="E190" s="50">
        <f t="shared" si="48"/>
        <v>5.3491945835517871</v>
      </c>
      <c r="F190" s="50">
        <f t="shared" si="48"/>
        <v>5.9650944469731453</v>
      </c>
      <c r="G190" s="50">
        <f t="shared" si="48"/>
        <v>6.2993357337968714</v>
      </c>
      <c r="H190" s="50">
        <f t="shared" si="48"/>
        <v>5.7549280737556785</v>
      </c>
      <c r="I190" s="50">
        <f t="shared" si="48"/>
        <v>5.8718126768338967</v>
      </c>
      <c r="J190" s="105">
        <f t="shared" si="38"/>
        <v>2.0310349943598593E-2</v>
      </c>
      <c r="K190" s="50">
        <f t="shared" si="49"/>
        <v>0.11688460307821824</v>
      </c>
      <c r="L190" s="98"/>
    </row>
    <row r="191" spans="2:12" x14ac:dyDescent="0.25">
      <c r="B191" s="22"/>
      <c r="C191" s="36"/>
      <c r="D191" s="4" t="s">
        <v>50</v>
      </c>
      <c r="E191" s="50">
        <f t="shared" si="48"/>
        <v>6.8485442911860428</v>
      </c>
      <c r="F191" s="50">
        <f t="shared" si="48"/>
        <v>5.5543189800228117</v>
      </c>
      <c r="G191" s="50">
        <f t="shared" si="48"/>
        <v>6.1281889542046537</v>
      </c>
      <c r="H191" s="50">
        <f t="shared" si="48"/>
        <v>6.4214324031645127</v>
      </c>
      <c r="I191" s="50">
        <f t="shared" si="48"/>
        <v>6.2905465704823937</v>
      </c>
      <c r="J191" s="105">
        <f t="shared" si="38"/>
        <v>-2.0382653661139227E-2</v>
      </c>
      <c r="K191" s="50">
        <f t="shared" si="49"/>
        <v>-0.13088583268211895</v>
      </c>
      <c r="L191" s="98"/>
    </row>
    <row r="192" spans="2:12" x14ac:dyDescent="0.25">
      <c r="B192" s="22"/>
      <c r="C192" s="36"/>
      <c r="D192" s="4" t="s">
        <v>51</v>
      </c>
      <c r="E192" s="50">
        <f t="shared" si="48"/>
        <v>2.437843193922629</v>
      </c>
      <c r="F192" s="50">
        <f t="shared" si="48"/>
        <v>2.4937806482478173</v>
      </c>
      <c r="G192" s="50">
        <f t="shared" si="48"/>
        <v>2.6756725259784404</v>
      </c>
      <c r="H192" s="50">
        <f t="shared" si="48"/>
        <v>2.5505786061867015</v>
      </c>
      <c r="I192" s="50">
        <f t="shared" si="48"/>
        <v>2.6538649194953647</v>
      </c>
      <c r="J192" s="105">
        <f t="shared" si="38"/>
        <v>4.0495248042201615E-2</v>
      </c>
      <c r="K192" s="50">
        <f t="shared" si="49"/>
        <v>0.10328631330866322</v>
      </c>
      <c r="L192" s="98"/>
    </row>
    <row r="193" spans="2:12" x14ac:dyDescent="0.25">
      <c r="B193" s="22"/>
      <c r="C193" s="36"/>
      <c r="D193" s="4" t="s">
        <v>52</v>
      </c>
      <c r="E193" s="50">
        <f t="shared" si="48"/>
        <v>5.7058231246853497</v>
      </c>
      <c r="F193" s="50">
        <f t="shared" si="48"/>
        <v>6.9720730697289195</v>
      </c>
      <c r="G193" s="50">
        <f t="shared" si="48"/>
        <v>6.6176102336667117</v>
      </c>
      <c r="H193" s="50">
        <f t="shared" si="48"/>
        <v>5.729361648217651</v>
      </c>
      <c r="I193" s="50">
        <f t="shared" si="48"/>
        <v>6.0770157142498729</v>
      </c>
      <c r="J193" s="105">
        <f t="shared" si="38"/>
        <v>6.0679371870402621E-2</v>
      </c>
      <c r="K193" s="50">
        <f t="shared" si="49"/>
        <v>0.34765406603222182</v>
      </c>
      <c r="L193" s="98"/>
    </row>
    <row r="194" spans="2:12" x14ac:dyDescent="0.25">
      <c r="B194" s="22"/>
      <c r="C194" s="36"/>
      <c r="D194" s="4" t="s">
        <v>53</v>
      </c>
      <c r="E194" s="50">
        <f t="shared" si="48"/>
        <v>2.0931353607171839</v>
      </c>
      <c r="F194" s="50">
        <f t="shared" si="48"/>
        <v>2.1866149593931499</v>
      </c>
      <c r="G194" s="50">
        <f t="shared" si="48"/>
        <v>2.3720011696365835</v>
      </c>
      <c r="H194" s="50">
        <f t="shared" si="48"/>
        <v>2.410875374829053</v>
      </c>
      <c r="I194" s="50">
        <f t="shared" si="48"/>
        <v>2.328977841201255</v>
      </c>
      <c r="J194" s="105">
        <f t="shared" si="38"/>
        <v>-3.3970040294432513E-2</v>
      </c>
      <c r="K194" s="50">
        <f t="shared" si="49"/>
        <v>-8.1897533627798058E-2</v>
      </c>
      <c r="L194" s="98"/>
    </row>
    <row r="195" spans="2:12" x14ac:dyDescent="0.25">
      <c r="B195" s="22"/>
      <c r="C195" s="36"/>
      <c r="D195" s="4" t="s">
        <v>54</v>
      </c>
      <c r="E195" s="50">
        <f t="shared" si="48"/>
        <v>6.3173322576307651</v>
      </c>
      <c r="F195" s="50">
        <f t="shared" si="48"/>
        <v>5.5219885141008653</v>
      </c>
      <c r="G195" s="50">
        <f t="shared" si="48"/>
        <v>6.81836284648623</v>
      </c>
      <c r="H195" s="50">
        <f t="shared" si="48"/>
        <v>6.7723569064660403</v>
      </c>
      <c r="I195" s="50">
        <f t="shared" si="48"/>
        <v>6.910044821236232</v>
      </c>
      <c r="J195" s="39">
        <f t="shared" si="38"/>
        <v>2.0330871020505681E-2</v>
      </c>
      <c r="K195" s="50">
        <f t="shared" si="49"/>
        <v>0.13768791477019171</v>
      </c>
      <c r="L195" s="51"/>
    </row>
    <row r="196" spans="2:12" x14ac:dyDescent="0.25">
      <c r="B196" s="22"/>
      <c r="C196" s="40"/>
      <c r="D196" s="41" t="s">
        <v>55</v>
      </c>
      <c r="E196" s="101">
        <f t="shared" si="48"/>
        <v>5.4171790443293037</v>
      </c>
      <c r="F196" s="101">
        <f t="shared" si="48"/>
        <v>4.4508400617018022</v>
      </c>
      <c r="G196" s="101">
        <f t="shared" si="48"/>
        <v>5.585586474869209</v>
      </c>
      <c r="H196" s="101">
        <f t="shared" si="48"/>
        <v>6.340078572704102</v>
      </c>
      <c r="I196" s="101">
        <f t="shared" si="48"/>
        <v>5.7295922738424396</v>
      </c>
      <c r="J196" s="93">
        <f t="shared" si="38"/>
        <v>-9.6290020992797265E-2</v>
      </c>
      <c r="K196" s="101">
        <f t="shared" si="49"/>
        <v>-0.61048629886166239</v>
      </c>
      <c r="L196" s="73"/>
    </row>
    <row r="197" spans="2:12" x14ac:dyDescent="0.25">
      <c r="B197" s="22"/>
      <c r="C197" s="53" t="s">
        <v>36</v>
      </c>
      <c r="D197" s="86" t="s">
        <v>45</v>
      </c>
      <c r="E197" s="88">
        <v>0.42151592636549812</v>
      </c>
      <c r="F197" s="88">
        <v>0.46071549284573426</v>
      </c>
      <c r="G197" s="88">
        <v>0.69548218463868861</v>
      </c>
      <c r="H197" s="88">
        <v>0.75317428421984389</v>
      </c>
      <c r="I197" s="88">
        <v>0.77369971345652855</v>
      </c>
      <c r="J197" s="88">
        <f t="shared" si="38"/>
        <v>2.725189861991284E-2</v>
      </c>
      <c r="K197" s="95">
        <f>(I197-H197)*100</f>
        <v>2.0525429236684656</v>
      </c>
      <c r="L197" s="88"/>
    </row>
    <row r="198" spans="2:12" x14ac:dyDescent="0.25">
      <c r="B198" s="22"/>
      <c r="C198" s="55"/>
      <c r="D198" s="18" t="s">
        <v>46</v>
      </c>
      <c r="E198" s="21">
        <v>0.49563348888170433</v>
      </c>
      <c r="F198" s="21">
        <v>0.53007392392769836</v>
      </c>
      <c r="G198" s="21">
        <v>0.78235212112064911</v>
      </c>
      <c r="H198" s="21">
        <v>0.81120905005064936</v>
      </c>
      <c r="I198" s="21">
        <v>0.81280076010742186</v>
      </c>
      <c r="J198" s="21">
        <f t="shared" si="38"/>
        <v>1.9621453393217081E-3</v>
      </c>
      <c r="K198" s="54">
        <f t="shared" ref="K198" si="50">(I198-H198)*100</f>
        <v>0.15917100567724995</v>
      </c>
      <c r="L198" s="21"/>
    </row>
    <row r="199" spans="2:12" x14ac:dyDescent="0.25">
      <c r="B199" s="22"/>
      <c r="C199" s="55"/>
      <c r="D199" s="24" t="s">
        <v>47</v>
      </c>
      <c r="E199" s="81">
        <v>0.41641203353334449</v>
      </c>
      <c r="F199" s="81">
        <v>0.38237984856351559</v>
      </c>
      <c r="G199" s="81">
        <v>0.63514820255836268</v>
      </c>
      <c r="H199" s="81">
        <v>0.71202240207954559</v>
      </c>
      <c r="I199" s="81">
        <v>0.72327549742346608</v>
      </c>
      <c r="J199" s="81">
        <f t="shared" si="38"/>
        <v>1.5804411927285544E-2</v>
      </c>
      <c r="K199" s="56">
        <f>(I199-H199)*100</f>
        <v>1.1253095343920494</v>
      </c>
      <c r="L199" s="81"/>
    </row>
    <row r="200" spans="2:12" x14ac:dyDescent="0.25">
      <c r="B200" s="22"/>
      <c r="C200" s="55"/>
      <c r="D200" s="24" t="s">
        <v>48</v>
      </c>
      <c r="E200" s="81">
        <v>0.42174668708366447</v>
      </c>
      <c r="F200" s="81">
        <v>0.40408330264719122</v>
      </c>
      <c r="G200" s="81">
        <v>0.53778304538949095</v>
      </c>
      <c r="H200" s="81">
        <v>0.55454348826086564</v>
      </c>
      <c r="I200" s="81">
        <v>0.59082327086406716</v>
      </c>
      <c r="J200" s="81">
        <f t="shared" si="38"/>
        <v>6.5422790766113792E-2</v>
      </c>
      <c r="K200" s="56">
        <f t="shared" ref="K200:K207" si="51">(I200-H200)*100</f>
        <v>3.6279782603201527</v>
      </c>
      <c r="L200" s="81"/>
    </row>
    <row r="201" spans="2:12" x14ac:dyDescent="0.25">
      <c r="B201" s="22"/>
      <c r="C201" s="55"/>
      <c r="D201" s="24" t="s">
        <v>49</v>
      </c>
      <c r="E201" s="81">
        <v>0.31148476369141237</v>
      </c>
      <c r="F201" s="81">
        <v>0.28621210694206145</v>
      </c>
      <c r="G201" s="81">
        <v>0.60938004840462912</v>
      </c>
      <c r="H201" s="81">
        <v>0.6452598187198163</v>
      </c>
      <c r="I201" s="81">
        <v>0.84038066713662607</v>
      </c>
      <c r="J201" s="81">
        <f t="shared" si="38"/>
        <v>0.30239113416968366</v>
      </c>
      <c r="K201" s="56">
        <f t="shared" si="51"/>
        <v>19.512084841680977</v>
      </c>
      <c r="L201" s="81"/>
    </row>
    <row r="202" spans="2:12" x14ac:dyDescent="0.25">
      <c r="B202" s="22"/>
      <c r="C202" s="55"/>
      <c r="D202" s="24" t="s">
        <v>50</v>
      </c>
      <c r="E202" s="81">
        <v>0.48948502261743165</v>
      </c>
      <c r="F202" s="81">
        <v>0.48615455783025679</v>
      </c>
      <c r="G202" s="81">
        <v>0.6493275173640638</v>
      </c>
      <c r="H202" s="81">
        <v>0.73071425433679682</v>
      </c>
      <c r="I202" s="81">
        <v>0.78531451498170857</v>
      </c>
      <c r="J202" s="81">
        <f t="shared" si="38"/>
        <v>7.4721767532053285E-2</v>
      </c>
      <c r="K202" s="56">
        <f t="shared" si="51"/>
        <v>5.4600260644911742</v>
      </c>
      <c r="L202" s="81"/>
    </row>
    <row r="203" spans="2:12" x14ac:dyDescent="0.25">
      <c r="B203" s="22"/>
      <c r="C203" s="55"/>
      <c r="D203" s="24" t="s">
        <v>51</v>
      </c>
      <c r="E203" s="81">
        <v>0.5147906295498732</v>
      </c>
      <c r="F203" s="81">
        <v>0.42945341263098274</v>
      </c>
      <c r="G203" s="81">
        <v>0.57741590694750078</v>
      </c>
      <c r="H203" s="81">
        <v>0.61259601883208059</v>
      </c>
      <c r="I203" s="81">
        <v>0.6183064169082243</v>
      </c>
      <c r="J203" s="81">
        <f t="shared" si="38"/>
        <v>9.3216375892071213E-3</v>
      </c>
      <c r="K203" s="56">
        <f t="shared" si="51"/>
        <v>0.57103980761437079</v>
      </c>
      <c r="L203" s="81"/>
    </row>
    <row r="204" spans="2:12" x14ac:dyDescent="0.25">
      <c r="B204" s="22"/>
      <c r="C204" s="55"/>
      <c r="D204" s="24" t="s">
        <v>52</v>
      </c>
      <c r="E204" s="81">
        <v>0.60407891607923314</v>
      </c>
      <c r="F204" s="81">
        <v>0.70336128458075009</v>
      </c>
      <c r="G204" s="81">
        <v>0.8015089072176752</v>
      </c>
      <c r="H204" s="81">
        <v>0.82779844332469787</v>
      </c>
      <c r="I204" s="81">
        <v>0.82775664662909765</v>
      </c>
      <c r="J204" s="81">
        <f t="shared" si="38"/>
        <v>-5.0491391880846948E-5</v>
      </c>
      <c r="K204" s="56">
        <f t="shared" si="51"/>
        <v>-4.1796695600226919E-3</v>
      </c>
      <c r="L204" s="81"/>
    </row>
    <row r="205" spans="2:12" x14ac:dyDescent="0.25">
      <c r="B205" s="22"/>
      <c r="C205" s="55"/>
      <c r="D205" s="24" t="s">
        <v>53</v>
      </c>
      <c r="E205" s="81">
        <v>0.43917828766012645</v>
      </c>
      <c r="F205" s="81">
        <v>0.43287194104141685</v>
      </c>
      <c r="G205" s="81">
        <v>0.55540181632567553</v>
      </c>
      <c r="H205" s="81">
        <v>0.56942335787332776</v>
      </c>
      <c r="I205" s="81">
        <v>0.58812285219043858</v>
      </c>
      <c r="J205" s="81">
        <f t="shared" si="38"/>
        <v>3.283935240547442E-2</v>
      </c>
      <c r="K205" s="56">
        <f t="shared" si="51"/>
        <v>1.8699494317110821</v>
      </c>
      <c r="L205" s="81"/>
    </row>
    <row r="206" spans="2:12" x14ac:dyDescent="0.25">
      <c r="B206" s="22"/>
      <c r="C206" s="55"/>
      <c r="D206" s="24" t="s">
        <v>54</v>
      </c>
      <c r="E206" s="81">
        <v>0.49125694136118242</v>
      </c>
      <c r="F206" s="81">
        <v>0.48201408869433904</v>
      </c>
      <c r="G206" s="81">
        <v>0.74892677369097149</v>
      </c>
      <c r="H206" s="81">
        <v>0.81331329152256404</v>
      </c>
      <c r="I206" s="81">
        <v>0.84524916570756325</v>
      </c>
      <c r="J206" s="81">
        <f t="shared" si="38"/>
        <v>3.9266386665357089E-2</v>
      </c>
      <c r="K206" s="56">
        <f t="shared" si="51"/>
        <v>3.1935874184999213</v>
      </c>
      <c r="L206" s="27"/>
    </row>
    <row r="207" spans="2:12" x14ac:dyDescent="0.25">
      <c r="B207" s="22"/>
      <c r="C207" s="57"/>
      <c r="D207" s="29" t="s">
        <v>55</v>
      </c>
      <c r="E207" s="81">
        <v>0.36139382757206262</v>
      </c>
      <c r="F207" s="81">
        <v>0.30640431884692987</v>
      </c>
      <c r="G207" s="81">
        <v>0.53127749995092155</v>
      </c>
      <c r="H207" s="81">
        <v>0.69652045193105105</v>
      </c>
      <c r="I207" s="81">
        <v>0.64923634412435949</v>
      </c>
      <c r="J207" s="81">
        <f t="shared" si="38"/>
        <v>-6.788617286915255E-2</v>
      </c>
      <c r="K207" s="56">
        <f t="shared" si="51"/>
        <v>-4.7284107806691562</v>
      </c>
      <c r="L207" s="58"/>
    </row>
    <row r="208" spans="2:12" x14ac:dyDescent="0.25">
      <c r="B208" s="22"/>
      <c r="C208" s="59" t="s">
        <v>59</v>
      </c>
      <c r="D208" s="86" t="s">
        <v>45</v>
      </c>
      <c r="E208" s="87">
        <v>66601</v>
      </c>
      <c r="F208" s="87">
        <v>82456</v>
      </c>
      <c r="G208" s="87">
        <v>123696</v>
      </c>
      <c r="H208" s="87">
        <v>125536</v>
      </c>
      <c r="I208" s="87">
        <v>127400</v>
      </c>
      <c r="J208" s="88">
        <f t="shared" si="38"/>
        <v>1.4848330359418904E-2</v>
      </c>
      <c r="K208" s="87">
        <f t="shared" ref="K208:K209" si="52">I208-H208</f>
        <v>1864</v>
      </c>
      <c r="L208" s="88">
        <f t="shared" ref="L208:L218" si="53">I208/$I$208</f>
        <v>1</v>
      </c>
    </row>
    <row r="209" spans="2:12" x14ac:dyDescent="0.25">
      <c r="B209" s="22"/>
      <c r="C209" s="36"/>
      <c r="D209" s="33" t="s">
        <v>46</v>
      </c>
      <c r="E209" s="34">
        <v>23742</v>
      </c>
      <c r="F209" s="34">
        <v>29697</v>
      </c>
      <c r="G209" s="34">
        <v>44233</v>
      </c>
      <c r="H209" s="34">
        <v>45902</v>
      </c>
      <c r="I209" s="34">
        <v>46521</v>
      </c>
      <c r="J209" s="45">
        <f t="shared" si="38"/>
        <v>1.3485251187312031E-2</v>
      </c>
      <c r="K209" s="34">
        <f t="shared" si="52"/>
        <v>619</v>
      </c>
      <c r="L209" s="47">
        <f t="shared" si="53"/>
        <v>0.3651569858712716</v>
      </c>
    </row>
    <row r="210" spans="2:12" x14ac:dyDescent="0.25">
      <c r="B210" s="22"/>
      <c r="C210" s="36"/>
      <c r="D210" s="4" t="s">
        <v>47</v>
      </c>
      <c r="E210" s="37">
        <v>20336</v>
      </c>
      <c r="F210" s="37">
        <v>24064</v>
      </c>
      <c r="G210" s="37">
        <v>38225</v>
      </c>
      <c r="H210" s="37">
        <v>37475</v>
      </c>
      <c r="I210" s="37">
        <v>37833</v>
      </c>
      <c r="J210" s="97">
        <f t="shared" si="38"/>
        <v>9.55303535690466E-3</v>
      </c>
      <c r="K210" s="37">
        <f>I210-H210</f>
        <v>358</v>
      </c>
      <c r="L210" s="98">
        <f t="shared" si="53"/>
        <v>0.29696232339089484</v>
      </c>
    </row>
    <row r="211" spans="2:12" x14ac:dyDescent="0.25">
      <c r="B211" s="22"/>
      <c r="C211" s="36"/>
      <c r="D211" s="4" t="s">
        <v>48</v>
      </c>
      <c r="E211" s="37">
        <v>437</v>
      </c>
      <c r="F211" s="37">
        <v>669</v>
      </c>
      <c r="G211" s="37">
        <v>857</v>
      </c>
      <c r="H211" s="37">
        <v>900</v>
      </c>
      <c r="I211" s="37">
        <v>900</v>
      </c>
      <c r="J211" s="97">
        <f t="shared" si="38"/>
        <v>0</v>
      </c>
      <c r="K211" s="37">
        <f t="shared" ref="K211:K218" si="54">I211-H211</f>
        <v>0</v>
      </c>
      <c r="L211" s="98">
        <f t="shared" si="53"/>
        <v>7.0643642072213504E-3</v>
      </c>
    </row>
    <row r="212" spans="2:12" x14ac:dyDescent="0.25">
      <c r="B212" s="22"/>
      <c r="C212" s="36"/>
      <c r="D212" s="4" t="s">
        <v>49</v>
      </c>
      <c r="E212" s="37">
        <v>2900</v>
      </c>
      <c r="F212" s="37">
        <v>4012</v>
      </c>
      <c r="G212" s="37">
        <v>4562</v>
      </c>
      <c r="H212" s="37">
        <v>4395</v>
      </c>
      <c r="I212" s="37">
        <v>4427</v>
      </c>
      <c r="J212" s="97">
        <f t="shared" si="38"/>
        <v>7.2810011376565065E-3</v>
      </c>
      <c r="K212" s="37">
        <f t="shared" si="54"/>
        <v>32</v>
      </c>
      <c r="L212" s="98">
        <f t="shared" si="53"/>
        <v>3.4748822605965464E-2</v>
      </c>
    </row>
    <row r="213" spans="2:12" x14ac:dyDescent="0.25">
      <c r="B213" s="22"/>
      <c r="C213" s="36"/>
      <c r="D213" s="4" t="s">
        <v>50</v>
      </c>
      <c r="E213" s="37">
        <v>9244</v>
      </c>
      <c r="F213" s="37">
        <v>11050</v>
      </c>
      <c r="G213" s="37">
        <v>18364</v>
      </c>
      <c r="H213" s="37">
        <v>19209</v>
      </c>
      <c r="I213" s="37">
        <v>20011</v>
      </c>
      <c r="J213" s="97">
        <f t="shared" si="38"/>
        <v>4.175126242906968E-2</v>
      </c>
      <c r="K213" s="37">
        <f t="shared" si="54"/>
        <v>802</v>
      </c>
      <c r="L213" s="98">
        <f t="shared" si="53"/>
        <v>0.15707221350078493</v>
      </c>
    </row>
    <row r="214" spans="2:12" x14ac:dyDescent="0.25">
      <c r="B214" s="22"/>
      <c r="C214" s="36"/>
      <c r="D214" s="4" t="s">
        <v>51</v>
      </c>
      <c r="E214" s="37">
        <v>339</v>
      </c>
      <c r="F214" s="37">
        <v>532</v>
      </c>
      <c r="G214" s="37">
        <v>654</v>
      </c>
      <c r="H214" s="37">
        <v>663</v>
      </c>
      <c r="I214" s="37">
        <v>673</v>
      </c>
      <c r="J214" s="97">
        <f t="shared" si="38"/>
        <v>1.5082956259426794E-2</v>
      </c>
      <c r="K214" s="37">
        <f t="shared" si="54"/>
        <v>10</v>
      </c>
      <c r="L214" s="98">
        <f t="shared" si="53"/>
        <v>5.2825745682888543E-3</v>
      </c>
    </row>
    <row r="215" spans="2:12" x14ac:dyDescent="0.25">
      <c r="B215" s="22"/>
      <c r="C215" s="36"/>
      <c r="D215" s="4" t="s">
        <v>52</v>
      </c>
      <c r="E215" s="37">
        <v>2132</v>
      </c>
      <c r="F215" s="37">
        <v>2908</v>
      </c>
      <c r="G215" s="37">
        <v>4497</v>
      </c>
      <c r="H215" s="37">
        <v>4790</v>
      </c>
      <c r="I215" s="37">
        <v>4797</v>
      </c>
      <c r="J215" s="97">
        <f t="shared" si="38"/>
        <v>1.4613778705636626E-3</v>
      </c>
      <c r="K215" s="37">
        <f t="shared" si="54"/>
        <v>7</v>
      </c>
      <c r="L215" s="98">
        <f t="shared" si="53"/>
        <v>3.7653061224489796E-2</v>
      </c>
    </row>
    <row r="216" spans="2:12" x14ac:dyDescent="0.25">
      <c r="B216" s="22"/>
      <c r="C216" s="36"/>
      <c r="D216" s="4" t="s">
        <v>53</v>
      </c>
      <c r="E216" s="37">
        <v>1526</v>
      </c>
      <c r="F216" s="37">
        <v>2270</v>
      </c>
      <c r="G216" s="37">
        <v>2680</v>
      </c>
      <c r="H216" s="37">
        <v>2774</v>
      </c>
      <c r="I216" s="37">
        <v>2714</v>
      </c>
      <c r="J216" s="97">
        <f t="shared" si="38"/>
        <v>-2.1629416005767843E-2</v>
      </c>
      <c r="K216" s="37">
        <f t="shared" si="54"/>
        <v>-60</v>
      </c>
      <c r="L216" s="98">
        <f t="shared" si="53"/>
        <v>2.1302982731554159E-2</v>
      </c>
    </row>
    <row r="217" spans="2:12" x14ac:dyDescent="0.25">
      <c r="B217" s="22"/>
      <c r="C217" s="36"/>
      <c r="D217" s="4" t="s">
        <v>54</v>
      </c>
      <c r="E217" s="37">
        <v>3786</v>
      </c>
      <c r="F217" s="37">
        <v>4393</v>
      </c>
      <c r="G217" s="37">
        <v>6413</v>
      </c>
      <c r="H217" s="37">
        <v>6356</v>
      </c>
      <c r="I217" s="37">
        <v>6429</v>
      </c>
      <c r="J217" s="49">
        <f t="shared" si="38"/>
        <v>1.1485210824417891E-2</v>
      </c>
      <c r="K217" s="37">
        <f t="shared" si="54"/>
        <v>73</v>
      </c>
      <c r="L217" s="51">
        <f t="shared" si="53"/>
        <v>5.0463108320251179E-2</v>
      </c>
    </row>
    <row r="218" spans="2:12" x14ac:dyDescent="0.25">
      <c r="B218" s="61"/>
      <c r="C218" s="40"/>
      <c r="D218" s="41" t="s">
        <v>55</v>
      </c>
      <c r="E218" s="92">
        <v>2158</v>
      </c>
      <c r="F218" s="92">
        <v>2862</v>
      </c>
      <c r="G218" s="92">
        <v>3212</v>
      </c>
      <c r="H218" s="92">
        <v>3072</v>
      </c>
      <c r="I218" s="92">
        <v>3096</v>
      </c>
      <c r="J218" s="83">
        <f t="shared" si="38"/>
        <v>7.8125E-3</v>
      </c>
      <c r="K218" s="92">
        <f t="shared" si="54"/>
        <v>24</v>
      </c>
      <c r="L218" s="73">
        <f t="shared" si="53"/>
        <v>2.4301412872841443E-2</v>
      </c>
    </row>
    <row r="219" spans="2:12" x14ac:dyDescent="0.25">
      <c r="B219" s="63"/>
      <c r="C219" s="63"/>
      <c r="D219" s="63"/>
      <c r="E219" s="63"/>
      <c r="F219" s="63"/>
      <c r="G219" s="63"/>
      <c r="H219" s="63"/>
      <c r="I219" s="63"/>
      <c r="J219" s="63"/>
      <c r="K219" s="63"/>
      <c r="L219" s="64"/>
    </row>
    <row r="220" spans="2:12" x14ac:dyDescent="0.25">
      <c r="B220" s="66" t="s">
        <v>57</v>
      </c>
      <c r="C220" s="66"/>
      <c r="D220" s="66"/>
      <c r="E220" s="66"/>
      <c r="F220" s="66"/>
      <c r="G220" s="66"/>
      <c r="H220" s="66"/>
      <c r="I220" s="66"/>
      <c r="J220" s="66"/>
      <c r="K220" s="66"/>
    </row>
  </sheetData>
  <mergeCells count="30">
    <mergeCell ref="B219:K219"/>
    <mergeCell ref="B220:K220"/>
    <mergeCell ref="B146:K146"/>
    <mergeCell ref="B147:K147"/>
    <mergeCell ref="B150:K150"/>
    <mergeCell ref="B153:B218"/>
    <mergeCell ref="C153:C163"/>
    <mergeCell ref="C164:C174"/>
    <mergeCell ref="C175:C185"/>
    <mergeCell ref="C186:C196"/>
    <mergeCell ref="C197:C207"/>
    <mergeCell ref="C208:C218"/>
    <mergeCell ref="B73:K73"/>
    <mergeCell ref="B74:K74"/>
    <mergeCell ref="B77:K77"/>
    <mergeCell ref="B80:B145"/>
    <mergeCell ref="C80:C90"/>
    <mergeCell ref="C91:C101"/>
    <mergeCell ref="C102:C112"/>
    <mergeCell ref="C113:C123"/>
    <mergeCell ref="C124:C134"/>
    <mergeCell ref="C135:C145"/>
    <mergeCell ref="D1:L2"/>
    <mergeCell ref="B7:B72"/>
    <mergeCell ref="C7:C17"/>
    <mergeCell ref="C18:C28"/>
    <mergeCell ref="C29:C39"/>
    <mergeCell ref="C40:C50"/>
    <mergeCell ref="C51:C61"/>
    <mergeCell ref="C62:C72"/>
  </mergeCells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ED10C-7D83-4EB2-83C6-07EB6E03C25B}">
  <sheetPr>
    <tabColor theme="4" tint="0.79998168889431442"/>
  </sheetPr>
  <dimension ref="A1:O290"/>
  <sheetViews>
    <sheetView showGridLines="0" zoomScaleNormal="100" workbookViewId="0">
      <selection activeCell="G10" sqref="G10"/>
    </sheetView>
  </sheetViews>
  <sheetFormatPr baseColWidth="10" defaultColWidth="11.42578125" defaultRowHeight="15" x14ac:dyDescent="0.25"/>
  <cols>
    <col min="1" max="1" width="15.28515625" customWidth="1"/>
    <col min="14" max="14" width="13.5703125" bestFit="1" customWidth="1"/>
  </cols>
  <sheetData>
    <row r="1" spans="1:15" x14ac:dyDescent="0.25">
      <c r="D1" t="s">
        <v>252</v>
      </c>
      <c r="E1" t="s">
        <v>252</v>
      </c>
      <c r="G1" t="s">
        <v>252</v>
      </c>
    </row>
    <row r="4" spans="1:15" ht="48.75" customHeight="1" thickBot="1" x14ac:dyDescent="0.3">
      <c r="B4" s="12" t="s">
        <v>292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" t="s">
        <v>68</v>
      </c>
    </row>
    <row r="5" spans="1:15" ht="10.5" customHeight="1" thickBot="1" x14ac:dyDescent="0.3">
      <c r="B5" s="132"/>
      <c r="C5" s="133"/>
      <c r="D5" s="132"/>
      <c r="E5" s="132"/>
      <c r="F5" s="132"/>
      <c r="G5" s="132"/>
      <c r="H5" s="132"/>
      <c r="I5" s="132"/>
      <c r="J5" s="132"/>
      <c r="K5" s="132"/>
      <c r="L5" s="132"/>
      <c r="M5" s="4"/>
      <c r="N5" s="4"/>
      <c r="O5" s="1" t="s">
        <v>69</v>
      </c>
    </row>
    <row r="6" spans="1:15" ht="22.5" thickTop="1" thickBot="1" x14ac:dyDescent="0.3">
      <c r="B6" s="134" t="s">
        <v>32</v>
      </c>
      <c r="C6" s="135" t="s">
        <v>70</v>
      </c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1:15" ht="22.5" thickTop="1" thickBot="1" x14ac:dyDescent="0.3">
      <c r="B7" s="137"/>
      <c r="C7" s="138">
        <v>2020</v>
      </c>
      <c r="D7" s="139"/>
      <c r="E7" s="140">
        <v>2021</v>
      </c>
      <c r="F7" s="139"/>
      <c r="G7" s="140">
        <v>2022</v>
      </c>
      <c r="H7" s="139"/>
      <c r="I7" s="140">
        <v>2023</v>
      </c>
      <c r="J7" s="139"/>
      <c r="K7" s="140">
        <v>2024</v>
      </c>
      <c r="L7" s="139"/>
      <c r="M7" s="140">
        <v>2025</v>
      </c>
      <c r="N7" s="141"/>
    </row>
    <row r="8" spans="1:15" ht="16.5" thickTop="1" thickBot="1" x14ac:dyDescent="0.3">
      <c r="B8" s="109"/>
      <c r="C8" s="142" t="s">
        <v>71</v>
      </c>
      <c r="D8" s="143" t="str">
        <f>CONCATENATE("dif ",RIGHT(C7,2),"/",RIGHT(C7-1,2))</f>
        <v>dif 20/19</v>
      </c>
      <c r="E8" s="144" t="s">
        <v>71</v>
      </c>
      <c r="F8" s="143" t="str">
        <f>CONCATENATE("dif ",RIGHT(E7,2),"/",RIGHT(C7,2))</f>
        <v>dif 21/20</v>
      </c>
      <c r="G8" s="144" t="s">
        <v>71</v>
      </c>
      <c r="H8" s="143" t="str">
        <f>CONCATENATE("dif ",RIGHT(G7,2),"/",RIGHT(E7,2))</f>
        <v>dif 22/21</v>
      </c>
      <c r="I8" s="144" t="s">
        <v>71</v>
      </c>
      <c r="J8" s="143" t="str">
        <f>CONCATENATE("dif ",RIGHT(I7,2),"/",RIGHT(G7,2))</f>
        <v>dif 23/22</v>
      </c>
      <c r="K8" s="144" t="s">
        <v>71</v>
      </c>
      <c r="L8" s="143" t="str">
        <f>CONCATENATE("dif ",RIGHT(K7,2),"/",RIGHT(I7,2))</f>
        <v>dif 24/23</v>
      </c>
      <c r="M8" s="144" t="s">
        <v>71</v>
      </c>
      <c r="N8" s="143" t="str">
        <f>CONCATENATE("dif ",RIGHT(M7,2),"/",RIGHT(K7,2))</f>
        <v>dif 25/24</v>
      </c>
    </row>
    <row r="9" spans="1:15" x14ac:dyDescent="0.25">
      <c r="A9" s="1" t="s">
        <v>72</v>
      </c>
      <c r="B9" s="145" t="s">
        <v>73</v>
      </c>
      <c r="C9" s="220">
        <v>7.5032095478103749</v>
      </c>
      <c r="D9" s="221">
        <v>-0.41634465685021294</v>
      </c>
      <c r="E9" s="220">
        <v>4.2534147517274628</v>
      </c>
      <c r="F9" s="221">
        <f t="shared" ref="F9:J21" si="0">IFERROR(E9-C9,"-")</f>
        <v>-3.2497947960829121</v>
      </c>
      <c r="G9" s="220">
        <v>7.3644056930375692</v>
      </c>
      <c r="H9" s="221">
        <f t="shared" si="0"/>
        <v>3.1109909413101065</v>
      </c>
      <c r="I9" s="220">
        <v>7.2885726989773234</v>
      </c>
      <c r="J9" s="221">
        <f t="shared" si="0"/>
        <v>-7.5832994060245795E-2</v>
      </c>
      <c r="K9" s="220">
        <v>7.65598233995585</v>
      </c>
      <c r="L9" s="221">
        <f t="shared" ref="L9:L21" si="1">IFERROR(K9-I9,"-")</f>
        <v>0.36740964097852657</v>
      </c>
      <c r="M9" s="220">
        <v>7.5436789772727275</v>
      </c>
      <c r="N9" s="221">
        <f t="shared" ref="N9:N17" si="2">IFERROR(M9-K9,"-")</f>
        <v>-0.11230336268312247</v>
      </c>
    </row>
    <row r="10" spans="1:15" x14ac:dyDescent="0.25">
      <c r="A10" s="1" t="s">
        <v>74</v>
      </c>
      <c r="B10" s="145" t="s">
        <v>75</v>
      </c>
      <c r="C10" s="220">
        <v>7.7170021872070702</v>
      </c>
      <c r="D10" s="221">
        <v>0.18300645293042272</v>
      </c>
      <c r="E10" s="220">
        <v>3.6048685491723464</v>
      </c>
      <c r="F10" s="221">
        <f t="shared" si="0"/>
        <v>-4.1121336380347238</v>
      </c>
      <c r="G10" s="220">
        <v>6.5212775777716239</v>
      </c>
      <c r="H10" s="221">
        <f t="shared" si="0"/>
        <v>2.9164090285992774</v>
      </c>
      <c r="I10" s="220">
        <v>6.7735424066533829</v>
      </c>
      <c r="J10" s="221">
        <f t="shared" si="0"/>
        <v>0.25226482888175905</v>
      </c>
      <c r="K10" s="220">
        <v>6.9712386605911121</v>
      </c>
      <c r="L10" s="221">
        <f t="shared" si="1"/>
        <v>0.19769625393772916</v>
      </c>
      <c r="M10" s="220">
        <v>7.2220742967575688</v>
      </c>
      <c r="N10" s="221">
        <f t="shared" si="2"/>
        <v>0.25083563616645677</v>
      </c>
    </row>
    <row r="11" spans="1:15" x14ac:dyDescent="0.25">
      <c r="A11" s="1" t="s">
        <v>76</v>
      </c>
      <c r="B11" s="145" t="s">
        <v>77</v>
      </c>
      <c r="C11" s="220">
        <v>9.2506486181613088</v>
      </c>
      <c r="D11" s="221">
        <v>2.2028171886796724</v>
      </c>
      <c r="E11" s="220">
        <v>4.0907075558839834</v>
      </c>
      <c r="F11" s="221">
        <f t="shared" si="0"/>
        <v>-5.1599410622773254</v>
      </c>
      <c r="G11" s="220">
        <v>6.6980792586928164</v>
      </c>
      <c r="H11" s="221">
        <f t="shared" si="0"/>
        <v>2.607371702808833</v>
      </c>
      <c r="I11" s="220">
        <v>6.7377011388261332</v>
      </c>
      <c r="J11" s="221">
        <f t="shared" si="0"/>
        <v>3.96218801333168E-2</v>
      </c>
      <c r="K11" s="220">
        <v>6.4654920309986839</v>
      </c>
      <c r="L11" s="221">
        <f t="shared" si="1"/>
        <v>-0.27220910782744934</v>
      </c>
      <c r="M11" s="220">
        <v>6.9178930739170204</v>
      </c>
      <c r="N11" s="221">
        <f t="shared" si="2"/>
        <v>0.45240104291833649</v>
      </c>
    </row>
    <row r="12" spans="1:15" x14ac:dyDescent="0.25">
      <c r="A12" s="1" t="s">
        <v>78</v>
      </c>
      <c r="B12" s="145" t="s">
        <v>79</v>
      </c>
      <c r="C12" s="220" t="s">
        <v>252</v>
      </c>
      <c r="D12" s="221" t="s">
        <v>252</v>
      </c>
      <c r="E12" s="220">
        <v>3.4268915364381867</v>
      </c>
      <c r="F12" s="221" t="str">
        <f t="shared" si="0"/>
        <v>-</v>
      </c>
      <c r="G12" s="220">
        <v>6.3827739181384446</v>
      </c>
      <c r="H12" s="221">
        <f t="shared" si="0"/>
        <v>2.955882381700258</v>
      </c>
      <c r="I12" s="220">
        <v>6.1673905637881115</v>
      </c>
      <c r="J12" s="221">
        <f t="shared" si="0"/>
        <v>-0.21538335435033318</v>
      </c>
      <c r="K12" s="220">
        <v>6.965188020716055</v>
      </c>
      <c r="L12" s="221">
        <f t="shared" si="1"/>
        <v>0.79779745692794357</v>
      </c>
      <c r="M12" s="220">
        <v>6.8137684550908393</v>
      </c>
      <c r="N12" s="221">
        <f t="shared" si="2"/>
        <v>-0.15141956562521575</v>
      </c>
    </row>
    <row r="13" spans="1:15" x14ac:dyDescent="0.25">
      <c r="A13" s="1" t="s">
        <v>80</v>
      </c>
      <c r="B13" s="145" t="s">
        <v>81</v>
      </c>
      <c r="C13" s="220" t="s">
        <v>252</v>
      </c>
      <c r="D13" s="221" t="s">
        <v>252</v>
      </c>
      <c r="E13" s="220">
        <v>3.5315843470614099</v>
      </c>
      <c r="F13" s="221" t="str">
        <f t="shared" si="0"/>
        <v>-</v>
      </c>
      <c r="G13" s="220">
        <v>6.2174707421855713</v>
      </c>
      <c r="H13" s="221">
        <f t="shared" si="0"/>
        <v>2.6858863951241614</v>
      </c>
      <c r="I13" s="220">
        <v>6.5183552234649831</v>
      </c>
      <c r="J13" s="221">
        <f t="shared" si="0"/>
        <v>0.30088448127941181</v>
      </c>
      <c r="K13" s="220">
        <v>6.820077615250117</v>
      </c>
      <c r="L13" s="221">
        <f t="shared" si="1"/>
        <v>0.30172239178513394</v>
      </c>
      <c r="M13" s="220">
        <v>7.3308251433251437</v>
      </c>
      <c r="N13" s="221">
        <f t="shared" si="2"/>
        <v>0.51074752807502666</v>
      </c>
    </row>
    <row r="14" spans="1:15" x14ac:dyDescent="0.25">
      <c r="A14" s="1" t="s">
        <v>82</v>
      </c>
      <c r="B14" s="145" t="s">
        <v>83</v>
      </c>
      <c r="C14" s="220" t="s">
        <v>252</v>
      </c>
      <c r="D14" s="221" t="s">
        <v>252</v>
      </c>
      <c r="E14" s="220">
        <v>4.9431877958968959</v>
      </c>
      <c r="F14" s="221" t="str">
        <f t="shared" si="0"/>
        <v>-</v>
      </c>
      <c r="G14" s="220">
        <v>7.000953086942709</v>
      </c>
      <c r="H14" s="221">
        <f t="shared" si="0"/>
        <v>2.0577652910458131</v>
      </c>
      <c r="I14" s="220">
        <v>6.7547590790410634</v>
      </c>
      <c r="J14" s="221">
        <f t="shared" si="0"/>
        <v>-0.24619400790164558</v>
      </c>
      <c r="K14" s="220">
        <v>6.8785517271573049</v>
      </c>
      <c r="L14" s="221">
        <f t="shared" si="1"/>
        <v>0.12379264811624147</v>
      </c>
      <c r="M14" s="220">
        <v>6.7413964333520449</v>
      </c>
      <c r="N14" s="221">
        <f t="shared" si="2"/>
        <v>-0.13715529380526004</v>
      </c>
    </row>
    <row r="15" spans="1:15" x14ac:dyDescent="0.25">
      <c r="A15" s="1" t="s">
        <v>84</v>
      </c>
      <c r="B15" s="145" t="s">
        <v>85</v>
      </c>
      <c r="C15" s="220" t="s">
        <v>252</v>
      </c>
      <c r="D15" s="221" t="s">
        <v>252</v>
      </c>
      <c r="E15" s="220">
        <v>5.9776886192386733</v>
      </c>
      <c r="F15" s="221" t="str">
        <f t="shared" si="0"/>
        <v>-</v>
      </c>
      <c r="G15" s="220">
        <v>6.9023408766388297</v>
      </c>
      <c r="H15" s="221">
        <f t="shared" si="0"/>
        <v>0.92465225740015633</v>
      </c>
      <c r="I15" s="220">
        <v>6.8557834898665346</v>
      </c>
      <c r="J15" s="221">
        <f t="shared" si="0"/>
        <v>-4.655738677229504E-2</v>
      </c>
      <c r="K15" s="220">
        <v>6.9805567830313739</v>
      </c>
      <c r="L15" s="221">
        <f t="shared" si="1"/>
        <v>0.12477329316483932</v>
      </c>
      <c r="M15" s="220">
        <v>6.7038852318259874</v>
      </c>
      <c r="N15" s="221">
        <f t="shared" si="2"/>
        <v>-0.27667155120538656</v>
      </c>
    </row>
    <row r="16" spans="1:15" x14ac:dyDescent="0.25">
      <c r="A16" s="1" t="s">
        <v>86</v>
      </c>
      <c r="B16" s="145" t="s">
        <v>87</v>
      </c>
      <c r="C16" s="220">
        <v>4.5515607371192175</v>
      </c>
      <c r="D16" s="221">
        <v>-2.8081057811534764</v>
      </c>
      <c r="E16" s="220">
        <v>5.1992433795712483</v>
      </c>
      <c r="F16" s="221">
        <f t="shared" si="0"/>
        <v>0.64768264245203078</v>
      </c>
      <c r="G16" s="220">
        <v>7.2397501926274384</v>
      </c>
      <c r="H16" s="221">
        <f t="shared" si="0"/>
        <v>2.0405068130561901</v>
      </c>
      <c r="I16" s="220">
        <v>7.1337124926456168</v>
      </c>
      <c r="J16" s="221">
        <f t="shared" si="0"/>
        <v>-0.10603769998182155</v>
      </c>
      <c r="K16" s="220">
        <v>7.0900904459101861</v>
      </c>
      <c r="L16" s="221">
        <f t="shared" si="1"/>
        <v>-4.3622046735430686E-2</v>
      </c>
      <c r="M16" s="220">
        <v>7.4288856592953376</v>
      </c>
      <c r="N16" s="221">
        <f t="shared" si="2"/>
        <v>0.33879521338515151</v>
      </c>
    </row>
    <row r="17" spans="1:15" x14ac:dyDescent="0.25">
      <c r="A17" s="1" t="s">
        <v>88</v>
      </c>
      <c r="B17" s="145" t="s">
        <v>89</v>
      </c>
      <c r="C17" s="220">
        <v>4.0015720524017464</v>
      </c>
      <c r="D17" s="221">
        <v>-3.4080175453227559</v>
      </c>
      <c r="E17" s="220">
        <v>5.8313355603589443</v>
      </c>
      <c r="F17" s="221">
        <f t="shared" si="0"/>
        <v>1.8297635079571979</v>
      </c>
      <c r="G17" s="220">
        <v>6.7605067064083455</v>
      </c>
      <c r="H17" s="221">
        <f t="shared" si="0"/>
        <v>0.92917114604940121</v>
      </c>
      <c r="I17" s="220">
        <v>6.8220845019451737</v>
      </c>
      <c r="J17" s="221">
        <f t="shared" si="0"/>
        <v>6.1577795536828184E-2</v>
      </c>
      <c r="K17" s="220">
        <v>6.8866018317439339</v>
      </c>
      <c r="L17" s="221">
        <f t="shared" si="1"/>
        <v>6.4517329798760237E-2</v>
      </c>
      <c r="M17" s="220">
        <v>6.7704580121202129</v>
      </c>
      <c r="N17" s="221">
        <f t="shared" si="2"/>
        <v>-0.116143819623721</v>
      </c>
    </row>
    <row r="18" spans="1:15" x14ac:dyDescent="0.25">
      <c r="A18" s="1" t="s">
        <v>90</v>
      </c>
      <c r="B18" s="145" t="s">
        <v>91</v>
      </c>
      <c r="C18" s="220">
        <v>3.6523630907726932</v>
      </c>
      <c r="D18" s="221">
        <v>-3.4295121010880272</v>
      </c>
      <c r="E18" s="220">
        <v>5.9282195332757128</v>
      </c>
      <c r="F18" s="221">
        <f t="shared" si="0"/>
        <v>2.2758564425030197</v>
      </c>
      <c r="G18" s="220">
        <v>6.9025843149549875</v>
      </c>
      <c r="H18" s="221">
        <f t="shared" si="0"/>
        <v>0.97436478167927465</v>
      </c>
      <c r="I18" s="220">
        <v>6.8264086055904345</v>
      </c>
      <c r="J18" s="221">
        <f t="shared" si="0"/>
        <v>-7.6175709364552979E-2</v>
      </c>
      <c r="K18" s="220">
        <v>6.499798836911598</v>
      </c>
      <c r="L18" s="221">
        <f t="shared" si="1"/>
        <v>-0.32660976867883651</v>
      </c>
      <c r="M18" s="220"/>
      <c r="N18" s="221"/>
    </row>
    <row r="19" spans="1:15" x14ac:dyDescent="0.25">
      <c r="A19" s="1" t="s">
        <v>92</v>
      </c>
      <c r="B19" s="145" t="s">
        <v>93</v>
      </c>
      <c r="C19" s="220">
        <v>6.220779220779221</v>
      </c>
      <c r="D19" s="221">
        <v>-1.2079309678614418</v>
      </c>
      <c r="E19" s="220">
        <v>6.9308398023994355</v>
      </c>
      <c r="F19" s="221">
        <f t="shared" si="0"/>
        <v>0.71006058162021457</v>
      </c>
      <c r="G19" s="220">
        <v>7.2594999762797094</v>
      </c>
      <c r="H19" s="221">
        <f t="shared" si="0"/>
        <v>0.32866017388027391</v>
      </c>
      <c r="I19" s="220">
        <v>6.7909695542611646</v>
      </c>
      <c r="J19" s="221">
        <f t="shared" si="0"/>
        <v>-0.46853042201854489</v>
      </c>
      <c r="K19" s="220">
        <v>6.9614775499721784</v>
      </c>
      <c r="L19" s="221">
        <f t="shared" si="1"/>
        <v>0.17050799571101383</v>
      </c>
      <c r="M19" s="220"/>
      <c r="N19" s="221"/>
    </row>
    <row r="20" spans="1:15" x14ac:dyDescent="0.25">
      <c r="A20" s="1" t="s">
        <v>94</v>
      </c>
      <c r="B20" s="145" t="s">
        <v>95</v>
      </c>
      <c r="C20" s="220">
        <v>5.3013895543842837</v>
      </c>
      <c r="D20" s="221">
        <v>-1.8246712828427594</v>
      </c>
      <c r="E20" s="220">
        <v>6.2279114435907807</v>
      </c>
      <c r="F20" s="221">
        <f t="shared" si="0"/>
        <v>0.92652188920649703</v>
      </c>
      <c r="G20" s="220">
        <v>6.7056474124973162</v>
      </c>
      <c r="H20" s="221">
        <f t="shared" si="0"/>
        <v>0.47773596890653547</v>
      </c>
      <c r="I20" s="220">
        <v>6.5663159638803741</v>
      </c>
      <c r="J20" s="221">
        <f t="shared" si="0"/>
        <v>-0.13933144861694213</v>
      </c>
      <c r="K20" s="220">
        <v>6.8930442249892661</v>
      </c>
      <c r="L20" s="221">
        <f t="shared" si="1"/>
        <v>0.32672826110889197</v>
      </c>
      <c r="M20" s="220"/>
      <c r="N20" s="221"/>
    </row>
    <row r="21" spans="1:15" ht="15.75" x14ac:dyDescent="0.25">
      <c r="A21" s="1" t="s">
        <v>0</v>
      </c>
      <c r="B21" s="148" t="s">
        <v>32</v>
      </c>
      <c r="C21" s="222">
        <v>6.3173322576307651</v>
      </c>
      <c r="D21" s="223">
        <v>-1.1030430860612865</v>
      </c>
      <c r="E21" s="222">
        <v>5.5219885141008653</v>
      </c>
      <c r="F21" s="223">
        <f t="shared" si="0"/>
        <v>-0.79534374352989978</v>
      </c>
      <c r="G21" s="222">
        <v>6.81836284648623</v>
      </c>
      <c r="H21" s="223">
        <f t="shared" si="0"/>
        <v>1.2963743323853647</v>
      </c>
      <c r="I21" s="222">
        <v>6.7723569064660403</v>
      </c>
      <c r="J21" s="223">
        <f t="shared" si="0"/>
        <v>-4.6005940020189762E-2</v>
      </c>
      <c r="K21" s="222">
        <v>6.910044821236232</v>
      </c>
      <c r="L21" s="223">
        <f t="shared" si="1"/>
        <v>0.13768791477019171</v>
      </c>
      <c r="M21" s="222">
        <v>7.0403072992939792</v>
      </c>
      <c r="N21" s="223">
        <v>8.1571750972057266E-2</v>
      </c>
    </row>
    <row r="22" spans="1:15" ht="6" customHeight="1" x14ac:dyDescent="0.25"/>
    <row r="23" spans="1:15" x14ac:dyDescent="0.25">
      <c r="B23" s="131" t="s">
        <v>57</v>
      </c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</row>
    <row r="24" spans="1:15" x14ac:dyDescent="0.25">
      <c r="E24" s="151"/>
      <c r="G24" s="151"/>
      <c r="I24" s="151"/>
      <c r="K24" s="151"/>
      <c r="N24" s="103"/>
    </row>
    <row r="26" spans="1:15" ht="59.25" customHeight="1" thickBot="1" x14ac:dyDescent="0.3">
      <c r="B26" s="12" t="s">
        <v>293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" t="s">
        <v>96</v>
      </c>
    </row>
    <row r="27" spans="1:15" ht="10.5" customHeight="1" thickBot="1" x14ac:dyDescent="0.3">
      <c r="B27" s="132"/>
      <c r="C27" s="133"/>
      <c r="D27" s="132"/>
      <c r="E27" s="132"/>
      <c r="F27" s="132"/>
      <c r="G27" s="132"/>
      <c r="H27" s="132"/>
      <c r="I27" s="132"/>
      <c r="J27" s="132"/>
      <c r="K27" s="132"/>
      <c r="L27" s="132"/>
      <c r="M27" s="4"/>
      <c r="N27" s="4"/>
      <c r="O27" s="1" t="s">
        <v>97</v>
      </c>
    </row>
    <row r="28" spans="1:15" ht="22.5" thickTop="1" thickBot="1" x14ac:dyDescent="0.3">
      <c r="B28" s="152" t="s">
        <v>98</v>
      </c>
      <c r="C28" s="135" t="s">
        <v>99</v>
      </c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</row>
    <row r="29" spans="1:15" ht="22.5" thickTop="1" thickBot="1" x14ac:dyDescent="0.3">
      <c r="B29" s="137"/>
      <c r="C29" s="138">
        <v>2020</v>
      </c>
      <c r="D29" s="139"/>
      <c r="E29" s="140">
        <v>2021</v>
      </c>
      <c r="F29" s="139"/>
      <c r="G29" s="140">
        <v>2022</v>
      </c>
      <c r="H29" s="139"/>
      <c r="I29" s="140">
        <v>2023</v>
      </c>
      <c r="J29" s="139"/>
      <c r="K29" s="140">
        <v>2024</v>
      </c>
      <c r="L29" s="139"/>
      <c r="M29" s="140">
        <v>2025</v>
      </c>
      <c r="N29" s="141"/>
    </row>
    <row r="30" spans="1:15" ht="16.5" thickTop="1" thickBot="1" x14ac:dyDescent="0.3">
      <c r="B30" s="109"/>
      <c r="C30" s="142" t="s">
        <v>71</v>
      </c>
      <c r="D30" s="143" t="str">
        <f>CONCATENATE("dif ",RIGHT(C29,2),"/",RIGHT(C29-1,2))</f>
        <v>dif 20/19</v>
      </c>
      <c r="E30" s="144" t="s">
        <v>71</v>
      </c>
      <c r="F30" s="143" t="str">
        <f>CONCATENATE("dif ",RIGHT(E29,2),"/",RIGHT(C29,2))</f>
        <v>dif 21/20</v>
      </c>
      <c r="G30" s="144" t="s">
        <v>71</v>
      </c>
      <c r="H30" s="143" t="str">
        <f>CONCATENATE("dif ",RIGHT(G29,2),"/",RIGHT(E29,2))</f>
        <v>dif 22/21</v>
      </c>
      <c r="I30" s="144" t="s">
        <v>71</v>
      </c>
      <c r="J30" s="143" t="str">
        <f>CONCATENATE("dif ",RIGHT(I29,2),"/",RIGHT(G29,2))</f>
        <v>dif 23/22</v>
      </c>
      <c r="K30" s="144" t="s">
        <v>71</v>
      </c>
      <c r="L30" s="143" t="str">
        <f>CONCATENATE("dif ",RIGHT(K29,2),"/",RIGHT(I29,2))</f>
        <v>dif 24/23</v>
      </c>
      <c r="M30" s="144" t="s">
        <v>71</v>
      </c>
      <c r="N30" s="143" t="str">
        <f>CONCATENATE("dif ",RIGHT(M29,2),"/",RIGHT(K29,2))</f>
        <v>dif 25/24</v>
      </c>
    </row>
    <row r="31" spans="1:15" x14ac:dyDescent="0.25">
      <c r="B31" s="145" t="s">
        <v>73</v>
      </c>
      <c r="C31" s="220">
        <v>3.3978234582829505</v>
      </c>
      <c r="D31" s="221">
        <v>-1.3914885810290891</v>
      </c>
      <c r="E31" s="220">
        <v>2.3659409484044138</v>
      </c>
      <c r="F31" s="221">
        <f t="shared" ref="F31:J43" si="3">IFERROR(E31-C31,"-")</f>
        <v>-1.0318825098785367</v>
      </c>
      <c r="G31" s="220">
        <v>5.724462365591398</v>
      </c>
      <c r="H31" s="221">
        <f t="shared" si="3"/>
        <v>3.3585214171869842</v>
      </c>
      <c r="I31" s="220">
        <v>4.65979381443299</v>
      </c>
      <c r="J31" s="221">
        <f t="shared" si="3"/>
        <v>-1.064668551158408</v>
      </c>
      <c r="K31" s="220">
        <v>4.4990310077519382</v>
      </c>
      <c r="L31" s="221">
        <f t="shared" ref="L31:N43" si="4">IFERROR(K31-I31,"-")</f>
        <v>-0.16076280668105181</v>
      </c>
      <c r="M31" s="220">
        <v>4.9236192714453582</v>
      </c>
      <c r="N31" s="221">
        <f t="shared" si="4"/>
        <v>0.42458826369341995</v>
      </c>
    </row>
    <row r="32" spans="1:15" x14ac:dyDescent="0.25">
      <c r="B32" s="145" t="s">
        <v>75</v>
      </c>
      <c r="C32" s="220">
        <v>3.4050151975683889</v>
      </c>
      <c r="D32" s="221">
        <v>-0.3983267047452359</v>
      </c>
      <c r="E32" s="220">
        <v>2.1904255319148938</v>
      </c>
      <c r="F32" s="221">
        <f t="shared" si="3"/>
        <v>-1.2145896656534951</v>
      </c>
      <c r="G32" s="220">
        <v>2.9379509379509381</v>
      </c>
      <c r="H32" s="221">
        <f t="shared" si="3"/>
        <v>0.74752540603604434</v>
      </c>
      <c r="I32" s="220">
        <v>4.0410122164048863</v>
      </c>
      <c r="J32" s="221">
        <f t="shared" si="3"/>
        <v>1.1030612784539482</v>
      </c>
      <c r="K32" s="220">
        <v>2.5011169024571855</v>
      </c>
      <c r="L32" s="221">
        <f t="shared" si="4"/>
        <v>-1.5398953139477007</v>
      </c>
      <c r="M32" s="220">
        <v>3.7223880597014927</v>
      </c>
      <c r="N32" s="221">
        <f t="shared" si="4"/>
        <v>1.2212711572443071</v>
      </c>
    </row>
    <row r="33" spans="2:15" x14ac:dyDescent="0.25">
      <c r="B33" s="145" t="s">
        <v>77</v>
      </c>
      <c r="C33" s="220">
        <v>3.8292181069958846</v>
      </c>
      <c r="D33" s="221">
        <v>1.798215193970476E-2</v>
      </c>
      <c r="E33" s="220">
        <v>2.2533892834086506</v>
      </c>
      <c r="F33" s="221">
        <f t="shared" si="3"/>
        <v>-1.575828823587234</v>
      </c>
      <c r="G33" s="220">
        <v>3.2213947190250507</v>
      </c>
      <c r="H33" s="221">
        <f t="shared" si="3"/>
        <v>0.96800543561640007</v>
      </c>
      <c r="I33" s="220">
        <v>3.6146943353897925</v>
      </c>
      <c r="J33" s="221">
        <f t="shared" si="3"/>
        <v>0.39329961636474176</v>
      </c>
      <c r="K33" s="220">
        <v>3.1333333333333333</v>
      </c>
      <c r="L33" s="221">
        <f t="shared" si="4"/>
        <v>-0.48136100205645915</v>
      </c>
      <c r="M33" s="220">
        <v>3.7395048439181915</v>
      </c>
      <c r="N33" s="221">
        <f t="shared" si="4"/>
        <v>0.60617151058485819</v>
      </c>
    </row>
    <row r="34" spans="2:15" x14ac:dyDescent="0.25">
      <c r="B34" s="145" t="s">
        <v>79</v>
      </c>
      <c r="C34" s="220" t="s">
        <v>252</v>
      </c>
      <c r="D34" s="221" t="s">
        <v>252</v>
      </c>
      <c r="E34" s="220">
        <v>2.3930635838150289</v>
      </c>
      <c r="F34" s="221" t="str">
        <f>IFERROR(E34-C34,"-")</f>
        <v>-</v>
      </c>
      <c r="G34" s="220">
        <v>2.8110674525212835</v>
      </c>
      <c r="H34" s="221">
        <f>IFERROR(G34-E34,"-")</f>
        <v>0.41800386870625461</v>
      </c>
      <c r="I34" s="220">
        <v>2.8504016064257027</v>
      </c>
      <c r="J34" s="221">
        <f>IFERROR(I34-G34,"-")</f>
        <v>3.9334153904419189E-2</v>
      </c>
      <c r="K34" s="220">
        <v>3.7895878524945772</v>
      </c>
      <c r="L34" s="221">
        <f>IFERROR(K34-I34,"-")</f>
        <v>0.93918624606887446</v>
      </c>
      <c r="M34" s="220">
        <v>3.6893333333333334</v>
      </c>
      <c r="N34" s="221">
        <f t="shared" si="4"/>
        <v>-0.10025451916124384</v>
      </c>
    </row>
    <row r="35" spans="2:15" x14ac:dyDescent="0.25">
      <c r="B35" s="145" t="s">
        <v>81</v>
      </c>
      <c r="C35" s="220" t="s">
        <v>252</v>
      </c>
      <c r="D35" s="221" t="s">
        <v>252</v>
      </c>
      <c r="E35" s="220">
        <v>2.5417176413016884</v>
      </c>
      <c r="F35" s="221" t="str">
        <f t="shared" si="3"/>
        <v>-</v>
      </c>
      <c r="G35" s="220">
        <v>2.6286314315715784</v>
      </c>
      <c r="H35" s="221">
        <f t="shared" si="3"/>
        <v>8.691379026988999E-2</v>
      </c>
      <c r="I35" s="220">
        <v>3.2831715210355985</v>
      </c>
      <c r="J35" s="221">
        <f t="shared" si="3"/>
        <v>0.65454008946402009</v>
      </c>
      <c r="K35" s="220">
        <v>3.0149592021758838</v>
      </c>
      <c r="L35" s="221">
        <f t="shared" si="4"/>
        <v>-0.26821231885971475</v>
      </c>
      <c r="M35" s="220">
        <v>3.8170005414185164</v>
      </c>
      <c r="N35" s="221">
        <f t="shared" si="4"/>
        <v>0.80204133924263266</v>
      </c>
    </row>
    <row r="36" spans="2:15" x14ac:dyDescent="0.25">
      <c r="B36" s="145" t="s">
        <v>83</v>
      </c>
      <c r="C36" s="220" t="s">
        <v>252</v>
      </c>
      <c r="D36" s="221" t="s">
        <v>252</v>
      </c>
      <c r="E36" s="220">
        <v>3.5864474339810664</v>
      </c>
      <c r="F36" s="221" t="str">
        <f t="shared" si="3"/>
        <v>-</v>
      </c>
      <c r="G36" s="220">
        <v>3.6400807672892479</v>
      </c>
      <c r="H36" s="221">
        <f t="shared" si="3"/>
        <v>5.3633333308181541E-2</v>
      </c>
      <c r="I36" s="220">
        <v>3.3483852529294085</v>
      </c>
      <c r="J36" s="221">
        <f t="shared" si="3"/>
        <v>-0.29169551435983943</v>
      </c>
      <c r="K36" s="220">
        <v>3.406364301389905</v>
      </c>
      <c r="L36" s="221">
        <f t="shared" si="4"/>
        <v>5.7979048460496507E-2</v>
      </c>
      <c r="M36" s="220">
        <v>3.2416153319644079</v>
      </c>
      <c r="N36" s="221">
        <f t="shared" si="4"/>
        <v>-0.1647489694254971</v>
      </c>
    </row>
    <row r="37" spans="2:15" x14ac:dyDescent="0.25">
      <c r="B37" s="145" t="s">
        <v>85</v>
      </c>
      <c r="C37" s="220" t="s">
        <v>252</v>
      </c>
      <c r="D37" s="221" t="s">
        <v>252</v>
      </c>
      <c r="E37" s="220">
        <v>4.4459262851600387</v>
      </c>
      <c r="F37" s="221" t="str">
        <f t="shared" si="3"/>
        <v>-</v>
      </c>
      <c r="G37" s="220">
        <v>4.1811648079306076</v>
      </c>
      <c r="H37" s="221">
        <f t="shared" si="3"/>
        <v>-0.26476147722943111</v>
      </c>
      <c r="I37" s="220">
        <v>3.8014415252266915</v>
      </c>
      <c r="J37" s="221">
        <f t="shared" si="3"/>
        <v>-0.37972328270391609</v>
      </c>
      <c r="K37" s="220">
        <v>3.6836089494163424</v>
      </c>
      <c r="L37" s="221">
        <f t="shared" si="4"/>
        <v>-0.11783257581034912</v>
      </c>
      <c r="M37" s="220">
        <v>3.3543548387096775</v>
      </c>
      <c r="N37" s="221">
        <f t="shared" si="4"/>
        <v>-0.32925411070666488</v>
      </c>
    </row>
    <row r="38" spans="2:15" x14ac:dyDescent="0.25">
      <c r="B38" s="145" t="s">
        <v>87</v>
      </c>
      <c r="C38" s="220">
        <v>3.0742075823492852</v>
      </c>
      <c r="D38" s="221">
        <v>-0.71711502086974921</v>
      </c>
      <c r="E38" s="220">
        <v>3.7990708478513358</v>
      </c>
      <c r="F38" s="221">
        <f t="shared" si="3"/>
        <v>0.7248632655020506</v>
      </c>
      <c r="G38" s="220">
        <v>4.0331521739130434</v>
      </c>
      <c r="H38" s="221">
        <f t="shared" si="3"/>
        <v>0.23408132606170762</v>
      </c>
      <c r="I38" s="220">
        <v>4.0018788163457026</v>
      </c>
      <c r="J38" s="221">
        <f t="shared" si="3"/>
        <v>-3.1273357567340732E-2</v>
      </c>
      <c r="K38" s="220">
        <v>3.593650159744409</v>
      </c>
      <c r="L38" s="221">
        <f t="shared" si="4"/>
        <v>-0.40822865660129359</v>
      </c>
      <c r="M38" s="220">
        <v>4.2007764836383803</v>
      </c>
      <c r="N38" s="221">
        <f t="shared" si="4"/>
        <v>0.60712632389397125</v>
      </c>
    </row>
    <row r="39" spans="2:15" x14ac:dyDescent="0.25">
      <c r="B39" s="145" t="s">
        <v>89</v>
      </c>
      <c r="C39" s="220">
        <v>2.647812971342383</v>
      </c>
      <c r="D39" s="221">
        <v>-1.8377936085068289</v>
      </c>
      <c r="E39" s="220">
        <v>3.4035053929121726</v>
      </c>
      <c r="F39" s="221">
        <f t="shared" si="3"/>
        <v>0.75569242156978955</v>
      </c>
      <c r="G39" s="220">
        <v>3.5713871154962273</v>
      </c>
      <c r="H39" s="221">
        <f t="shared" si="3"/>
        <v>0.16788172258405476</v>
      </c>
      <c r="I39" s="220">
        <v>3.6274393849793021</v>
      </c>
      <c r="J39" s="221">
        <f t="shared" si="3"/>
        <v>5.6052269483074735E-2</v>
      </c>
      <c r="K39" s="220">
        <v>3.963002114164905</v>
      </c>
      <c r="L39" s="221">
        <f t="shared" si="4"/>
        <v>0.33556272918560293</v>
      </c>
      <c r="M39" s="220">
        <v>3.7727522431789051</v>
      </c>
      <c r="N39" s="221">
        <f t="shared" si="4"/>
        <v>-0.19024987098599988</v>
      </c>
    </row>
    <row r="40" spans="2:15" x14ac:dyDescent="0.25">
      <c r="B40" s="145" t="s">
        <v>91</v>
      </c>
      <c r="C40" s="220">
        <v>2.4842917997870075</v>
      </c>
      <c r="D40" s="221">
        <v>-1.3228621659983735</v>
      </c>
      <c r="E40" s="220">
        <v>3.132591562355123</v>
      </c>
      <c r="F40" s="221">
        <f t="shared" si="3"/>
        <v>0.6482997625681155</v>
      </c>
      <c r="G40" s="220">
        <v>3.554815263476681</v>
      </c>
      <c r="H40" s="221">
        <f t="shared" si="3"/>
        <v>0.42222370112155794</v>
      </c>
      <c r="I40" s="220">
        <v>3.2132940681531341</v>
      </c>
      <c r="J40" s="221">
        <f t="shared" si="3"/>
        <v>-0.34152119532354686</v>
      </c>
      <c r="K40" s="220">
        <v>3.3147033533963888</v>
      </c>
      <c r="L40" s="221">
        <f t="shared" si="4"/>
        <v>0.10140928524325465</v>
      </c>
      <c r="M40" s="220"/>
      <c r="N40" s="221"/>
    </row>
    <row r="41" spans="2:15" x14ac:dyDescent="0.25">
      <c r="B41" s="145" t="s">
        <v>93</v>
      </c>
      <c r="C41" s="220">
        <v>3.945582586427657</v>
      </c>
      <c r="D41" s="221">
        <v>0.37689414682164335</v>
      </c>
      <c r="E41" s="220">
        <v>3.4310897435897436</v>
      </c>
      <c r="F41" s="221">
        <f t="shared" si="3"/>
        <v>-0.51449284283791341</v>
      </c>
      <c r="G41" s="220">
        <v>3.6112132352941178</v>
      </c>
      <c r="H41" s="221">
        <f t="shared" si="3"/>
        <v>0.18012349170437414</v>
      </c>
      <c r="I41" s="220">
        <v>3.4485981308411215</v>
      </c>
      <c r="J41" s="221">
        <f t="shared" si="3"/>
        <v>-0.16261510445299621</v>
      </c>
      <c r="K41" s="220">
        <v>4.3719325153374236</v>
      </c>
      <c r="L41" s="221">
        <f t="shared" si="4"/>
        <v>0.92333438449630201</v>
      </c>
      <c r="M41" s="220"/>
      <c r="N41" s="221"/>
    </row>
    <row r="42" spans="2:15" x14ac:dyDescent="0.25">
      <c r="B42" s="145" t="s">
        <v>95</v>
      </c>
      <c r="C42" s="220">
        <v>2.4285714285714284</v>
      </c>
      <c r="D42" s="221">
        <v>-1.1950747808148532</v>
      </c>
      <c r="E42" s="220">
        <v>3.166830225711482</v>
      </c>
      <c r="F42" s="221">
        <f t="shared" si="3"/>
        <v>0.7382587971400536</v>
      </c>
      <c r="G42" s="220">
        <v>4.1630076838638859</v>
      </c>
      <c r="H42" s="221">
        <f t="shared" si="3"/>
        <v>0.99617745815240388</v>
      </c>
      <c r="I42" s="220">
        <v>3.404673393520977</v>
      </c>
      <c r="J42" s="221">
        <f t="shared" si="3"/>
        <v>-0.75833429034290889</v>
      </c>
      <c r="K42" s="220">
        <v>3.9628305932809149</v>
      </c>
      <c r="L42" s="221">
        <f t="shared" si="4"/>
        <v>0.55815719975993794</v>
      </c>
      <c r="M42" s="220"/>
      <c r="N42" s="221"/>
    </row>
    <row r="43" spans="2:15" ht="15.75" x14ac:dyDescent="0.25">
      <c r="B43" s="148" t="s">
        <v>32</v>
      </c>
      <c r="C43" s="222">
        <v>2.875516971571221</v>
      </c>
      <c r="D43" s="223">
        <v>-1.3570125937797233</v>
      </c>
      <c r="E43" s="222">
        <v>3.140326433121019</v>
      </c>
      <c r="F43" s="223">
        <f t="shared" si="3"/>
        <v>0.26480946154979801</v>
      </c>
      <c r="G43" s="222">
        <v>3.6206255806751315</v>
      </c>
      <c r="H43" s="223">
        <f t="shared" si="3"/>
        <v>0.48029914755411252</v>
      </c>
      <c r="I43" s="222">
        <v>3.5630895121494159</v>
      </c>
      <c r="J43" s="223">
        <f t="shared" si="3"/>
        <v>-5.7536068525715578E-2</v>
      </c>
      <c r="K43" s="222">
        <v>3.5542003563108127</v>
      </c>
      <c r="L43" s="223">
        <f t="shared" si="4"/>
        <v>-8.8891558386032798E-3</v>
      </c>
      <c r="M43" s="222">
        <v>3.7342401748370322</v>
      </c>
      <c r="N43" s="223">
        <v>0.21493246914908637</v>
      </c>
    </row>
    <row r="44" spans="2:15" ht="6" customHeight="1" x14ac:dyDescent="0.25"/>
    <row r="45" spans="2:15" x14ac:dyDescent="0.25">
      <c r="B45" s="131" t="s">
        <v>57</v>
      </c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</row>
    <row r="47" spans="2:15" x14ac:dyDescent="0.25">
      <c r="E47" s="151"/>
      <c r="G47" s="151"/>
      <c r="I47" s="151"/>
      <c r="K47" s="153"/>
    </row>
    <row r="48" spans="2:15" ht="48.75" customHeight="1" thickBot="1" x14ac:dyDescent="0.3">
      <c r="B48" s="12" t="s">
        <v>294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" t="s">
        <v>100</v>
      </c>
    </row>
    <row r="49" spans="1:15" ht="10.5" customHeight="1" thickBot="1" x14ac:dyDescent="0.3">
      <c r="B49" s="132"/>
      <c r="C49" s="133"/>
      <c r="D49" s="132"/>
      <c r="E49" s="132"/>
      <c r="F49" s="132"/>
      <c r="G49" s="132"/>
      <c r="H49" s="132"/>
      <c r="I49" s="132"/>
      <c r="J49" s="132"/>
      <c r="K49" s="132"/>
      <c r="L49" s="132"/>
      <c r="M49" s="4"/>
      <c r="N49" s="4"/>
      <c r="O49" s="1" t="s">
        <v>101</v>
      </c>
    </row>
    <row r="50" spans="1:15" ht="22.5" thickTop="1" thickBot="1" x14ac:dyDescent="0.3">
      <c r="B50" s="137"/>
      <c r="C50" s="135" t="s">
        <v>102</v>
      </c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</row>
    <row r="51" spans="1:15" ht="22.5" thickTop="1" thickBot="1" x14ac:dyDescent="0.3">
      <c r="B51" s="137"/>
      <c r="C51" s="138">
        <v>2020</v>
      </c>
      <c r="D51" s="139"/>
      <c r="E51" s="140">
        <v>2021</v>
      </c>
      <c r="F51" s="139"/>
      <c r="G51" s="140">
        <v>2022</v>
      </c>
      <c r="H51" s="139"/>
      <c r="I51" s="140">
        <v>2023</v>
      </c>
      <c r="J51" s="139"/>
      <c r="K51" s="140">
        <v>2024</v>
      </c>
      <c r="L51" s="139"/>
      <c r="M51" s="140">
        <v>2025</v>
      </c>
      <c r="N51" s="141"/>
    </row>
    <row r="52" spans="1:15" ht="16.5" thickTop="1" thickBot="1" x14ac:dyDescent="0.3">
      <c r="B52" s="109"/>
      <c r="C52" s="142" t="s">
        <v>71</v>
      </c>
      <c r="D52" s="143" t="str">
        <f>CONCATENATE("dif ",RIGHT(C51,2),"/",RIGHT(C51-1,2))</f>
        <v>dif 20/19</v>
      </c>
      <c r="E52" s="144" t="s">
        <v>71</v>
      </c>
      <c r="F52" s="143" t="str">
        <f>CONCATENATE("dif ",RIGHT(E51,2),"/",RIGHT(C51,2))</f>
        <v>dif 21/20</v>
      </c>
      <c r="G52" s="144" t="s">
        <v>71</v>
      </c>
      <c r="H52" s="143" t="str">
        <f>CONCATENATE("dif ",RIGHT(G51,2),"/",RIGHT(E51,2))</f>
        <v>dif 22/21</v>
      </c>
      <c r="I52" s="144" t="s">
        <v>71</v>
      </c>
      <c r="J52" s="143" t="str">
        <f>CONCATENATE("dif ",RIGHT(I51,2),"/",RIGHT(G51,2))</f>
        <v>dif 23/22</v>
      </c>
      <c r="K52" s="144" t="s">
        <v>71</v>
      </c>
      <c r="L52" s="143" t="str">
        <f>CONCATENATE("dif ",RIGHT(K51,2),"/",RIGHT(I51,2))</f>
        <v>dif 24/23</v>
      </c>
      <c r="M52" s="144" t="s">
        <v>71</v>
      </c>
      <c r="N52" s="143" t="str">
        <f>CONCATENATE("dif ",RIGHT(M51,2),"/",RIGHT(K51,2))</f>
        <v>dif 25/24</v>
      </c>
    </row>
    <row r="53" spans="1:15" x14ac:dyDescent="0.25">
      <c r="A53" s="1">
        <v>1</v>
      </c>
      <c r="B53" s="145" t="s">
        <v>73</v>
      </c>
      <c r="C53" s="220">
        <v>4.8253012048192767</v>
      </c>
      <c r="D53" s="221">
        <v>1.2480832420591454</v>
      </c>
      <c r="E53" s="220">
        <v>5.3652173913043475</v>
      </c>
      <c r="F53" s="221">
        <f t="shared" ref="F53:J65" si="5">IFERROR(E53-C53,"-")</f>
        <v>0.53991618648507078</v>
      </c>
      <c r="G53" s="220">
        <v>5.7339805825242722</v>
      </c>
      <c r="H53" s="221">
        <f t="shared" si="5"/>
        <v>0.36876319121992474</v>
      </c>
      <c r="I53" s="220">
        <v>5.0429362880886428</v>
      </c>
      <c r="J53" s="221">
        <f t="shared" si="5"/>
        <v>-0.69104429443562942</v>
      </c>
      <c r="K53" s="220">
        <v>5.8047722342733188</v>
      </c>
      <c r="L53" s="221">
        <f t="shared" ref="L53:N65" si="6">IFERROR(K53-I53,"-")</f>
        <v>0.76183594618467598</v>
      </c>
      <c r="M53" s="220">
        <v>5.9452736318407959</v>
      </c>
      <c r="N53" s="221">
        <f t="shared" si="6"/>
        <v>0.14050139756747715</v>
      </c>
    </row>
    <row r="54" spans="1:15" x14ac:dyDescent="0.25">
      <c r="A54" s="1">
        <v>2</v>
      </c>
      <c r="B54" s="145" t="s">
        <v>75</v>
      </c>
      <c r="C54" s="220">
        <v>4.333333333333333</v>
      </c>
      <c r="D54" s="221">
        <v>1.3131567885666242</v>
      </c>
      <c r="E54" s="220">
        <v>4.1810699588477362</v>
      </c>
      <c r="F54" s="221">
        <f t="shared" si="5"/>
        <v>-0.15226337448559679</v>
      </c>
      <c r="G54" s="220">
        <v>4.2582524271844662</v>
      </c>
      <c r="H54" s="221">
        <f t="shared" si="5"/>
        <v>7.7182468336729926E-2</v>
      </c>
      <c r="I54" s="220">
        <v>4.5245579567779961</v>
      </c>
      <c r="J54" s="221">
        <f t="shared" si="5"/>
        <v>0.26630552959352993</v>
      </c>
      <c r="K54" s="220">
        <v>3.5454545454545454</v>
      </c>
      <c r="L54" s="221">
        <f t="shared" si="6"/>
        <v>-0.97910341132345069</v>
      </c>
      <c r="M54" s="220">
        <v>4.55</v>
      </c>
      <c r="N54" s="221">
        <f t="shared" si="6"/>
        <v>1.0045454545454544</v>
      </c>
    </row>
    <row r="55" spans="1:15" x14ac:dyDescent="0.25">
      <c r="A55" s="1">
        <v>3</v>
      </c>
      <c r="B55" s="145" t="s">
        <v>77</v>
      </c>
      <c r="C55" s="220">
        <v>5.8444444444444441</v>
      </c>
      <c r="D55" s="221">
        <v>3.1606251191156849</v>
      </c>
      <c r="E55" s="220">
        <v>3.6339522546419096</v>
      </c>
      <c r="F55" s="221">
        <f t="shared" si="5"/>
        <v>-2.2104921898025345</v>
      </c>
      <c r="G55" s="220">
        <v>4.8299445471349349</v>
      </c>
      <c r="H55" s="221">
        <f t="shared" si="5"/>
        <v>1.1959922924930253</v>
      </c>
      <c r="I55" s="220">
        <v>4.1807228915662646</v>
      </c>
      <c r="J55" s="221">
        <f t="shared" si="5"/>
        <v>-0.64922165556867029</v>
      </c>
      <c r="K55" s="220">
        <v>4.1143911439114387</v>
      </c>
      <c r="L55" s="221">
        <f t="shared" si="6"/>
        <v>-6.6331747654825968E-2</v>
      </c>
      <c r="M55" s="220">
        <v>4.6043046357615891</v>
      </c>
      <c r="N55" s="221">
        <f t="shared" si="6"/>
        <v>0.48991349185015043</v>
      </c>
    </row>
    <row r="56" spans="1:15" x14ac:dyDescent="0.25">
      <c r="A56" s="1">
        <v>4</v>
      </c>
      <c r="B56" s="145" t="s">
        <v>79</v>
      </c>
      <c r="C56" s="220" t="s">
        <v>252</v>
      </c>
      <c r="D56" s="221" t="s">
        <v>252</v>
      </c>
      <c r="E56" s="220">
        <v>3.7015945330296129</v>
      </c>
      <c r="F56" s="221" t="str">
        <f>IFERROR(E56-C56,"-")</f>
        <v>-</v>
      </c>
      <c r="G56" s="220">
        <v>3.7936046511627906</v>
      </c>
      <c r="H56" s="221">
        <f>IFERROR(G56-E56,"-")</f>
        <v>9.201011813317761E-2</v>
      </c>
      <c r="I56" s="220">
        <v>4.0883054892601436</v>
      </c>
      <c r="J56" s="221">
        <f>IFERROR(I56-G56,"-")</f>
        <v>0.29470083809735304</v>
      </c>
      <c r="K56" s="220">
        <v>4.7992895204262878</v>
      </c>
      <c r="L56" s="221">
        <f>IFERROR(K56-I56,"-")</f>
        <v>0.71098403116614417</v>
      </c>
      <c r="M56" s="220">
        <v>4.6322350845948357</v>
      </c>
      <c r="N56" s="221">
        <f t="shared" si="6"/>
        <v>-0.16705443583145207</v>
      </c>
    </row>
    <row r="57" spans="1:15" x14ac:dyDescent="0.25">
      <c r="A57" s="1">
        <v>5</v>
      </c>
      <c r="B57" s="145" t="s">
        <v>81</v>
      </c>
      <c r="C57" s="220" t="s">
        <v>252</v>
      </c>
      <c r="D57" s="221" t="s">
        <v>252</v>
      </c>
      <c r="E57" s="220">
        <v>3.6545718432510887</v>
      </c>
      <c r="F57" s="221" t="str">
        <f t="shared" si="5"/>
        <v>-</v>
      </c>
      <c r="G57" s="220">
        <v>3.9125596184419713</v>
      </c>
      <c r="H57" s="221">
        <f t="shared" si="5"/>
        <v>0.25798777519088256</v>
      </c>
      <c r="I57" s="220">
        <v>3.9587750294464077</v>
      </c>
      <c r="J57" s="221">
        <f t="shared" si="5"/>
        <v>4.621541100443638E-2</v>
      </c>
      <c r="K57" s="220">
        <v>4.9326145552560643</v>
      </c>
      <c r="L57" s="221">
        <f t="shared" si="6"/>
        <v>0.9738395258096566</v>
      </c>
      <c r="M57" s="220">
        <v>5.5975460122699383</v>
      </c>
      <c r="N57" s="221">
        <f t="shared" si="6"/>
        <v>0.66493145701387402</v>
      </c>
    </row>
    <row r="58" spans="1:15" x14ac:dyDescent="0.25">
      <c r="A58" s="1">
        <v>6</v>
      </c>
      <c r="B58" s="145" t="s">
        <v>83</v>
      </c>
      <c r="C58" s="220" t="s">
        <v>252</v>
      </c>
      <c r="D58" s="221" t="s">
        <v>252</v>
      </c>
      <c r="E58" s="220">
        <v>4.3600000000000003</v>
      </c>
      <c r="F58" s="221" t="str">
        <f t="shared" si="5"/>
        <v>-</v>
      </c>
      <c r="G58" s="220">
        <v>5.4429347826086953</v>
      </c>
      <c r="H58" s="221">
        <f t="shared" si="5"/>
        <v>1.082934782608695</v>
      </c>
      <c r="I58" s="220">
        <v>4.3403590944574555</v>
      </c>
      <c r="J58" s="221">
        <f t="shared" si="5"/>
        <v>-1.1025756881512399</v>
      </c>
      <c r="K58" s="220">
        <v>4.7995337995337994</v>
      </c>
      <c r="L58" s="221">
        <f t="shared" si="6"/>
        <v>0.45917470507634395</v>
      </c>
      <c r="M58" s="220">
        <v>4.7594529364440872</v>
      </c>
      <c r="N58" s="221">
        <f t="shared" si="6"/>
        <v>-4.008086308971226E-2</v>
      </c>
    </row>
    <row r="59" spans="1:15" x14ac:dyDescent="0.25">
      <c r="A59" s="1">
        <v>7</v>
      </c>
      <c r="B59" s="145" t="s">
        <v>85</v>
      </c>
      <c r="C59" s="220" t="s">
        <v>252</v>
      </c>
      <c r="D59" s="221" t="s">
        <v>252</v>
      </c>
      <c r="E59" s="220">
        <v>5.7505060728744937</v>
      </c>
      <c r="F59" s="221" t="str">
        <f t="shared" si="5"/>
        <v>-</v>
      </c>
      <c r="G59" s="220">
        <v>6.2126563649742454</v>
      </c>
      <c r="H59" s="221">
        <f t="shared" si="5"/>
        <v>0.46215029209975178</v>
      </c>
      <c r="I59" s="220">
        <v>5.4324683965402532</v>
      </c>
      <c r="J59" s="221">
        <f t="shared" si="5"/>
        <v>-0.7801879684339923</v>
      </c>
      <c r="K59" s="220">
        <v>6.0435855263157894</v>
      </c>
      <c r="L59" s="221">
        <f t="shared" si="6"/>
        <v>0.61111712977553623</v>
      </c>
      <c r="M59" s="220">
        <v>5.4310975609756094</v>
      </c>
      <c r="N59" s="221">
        <f t="shared" si="6"/>
        <v>-0.61248796534018002</v>
      </c>
    </row>
    <row r="60" spans="1:15" x14ac:dyDescent="0.25">
      <c r="A60" s="1">
        <v>8</v>
      </c>
      <c r="B60" s="145" t="s">
        <v>87</v>
      </c>
      <c r="C60" s="220">
        <v>3.7919020715630887</v>
      </c>
      <c r="D60" s="221">
        <v>-1.5639215243660485</v>
      </c>
      <c r="E60" s="220">
        <v>5.5321725965177899</v>
      </c>
      <c r="F60" s="221">
        <f t="shared" si="5"/>
        <v>1.7402705249547012</v>
      </c>
      <c r="G60" s="220">
        <v>6.4098601913171454</v>
      </c>
      <c r="H60" s="221">
        <f t="shared" si="5"/>
        <v>0.87768759479935543</v>
      </c>
      <c r="I60" s="220">
        <v>5.612125162972621</v>
      </c>
      <c r="J60" s="221">
        <f t="shared" si="5"/>
        <v>-0.79773502834452437</v>
      </c>
      <c r="K60" s="220">
        <v>5.8556461001164148</v>
      </c>
      <c r="L60" s="221">
        <f t="shared" si="6"/>
        <v>0.24352093714379386</v>
      </c>
      <c r="M60" s="220">
        <v>5.8579207920792076</v>
      </c>
      <c r="N60" s="221">
        <f t="shared" si="6"/>
        <v>2.2746919627927298E-3</v>
      </c>
    </row>
    <row r="61" spans="1:15" x14ac:dyDescent="0.25">
      <c r="A61" s="1">
        <v>9</v>
      </c>
      <c r="B61" s="145" t="s">
        <v>89</v>
      </c>
      <c r="C61" s="220">
        <v>2.9774577332498433</v>
      </c>
      <c r="D61" s="221">
        <v>-1.295903841631791</v>
      </c>
      <c r="E61" s="220">
        <v>5.5271779597915112</v>
      </c>
      <c r="F61" s="221">
        <f t="shared" si="5"/>
        <v>2.5497202265416679</v>
      </c>
      <c r="G61" s="220">
        <v>5.5612691466083151</v>
      </c>
      <c r="H61" s="221">
        <f t="shared" si="5"/>
        <v>3.4091186816803898E-2</v>
      </c>
      <c r="I61" s="220">
        <v>5.5102239532619279</v>
      </c>
      <c r="J61" s="221">
        <f t="shared" si="5"/>
        <v>-5.104519334638713E-2</v>
      </c>
      <c r="K61" s="220">
        <v>5.8552746294681777</v>
      </c>
      <c r="L61" s="221">
        <f t="shared" si="6"/>
        <v>0.34505067620624974</v>
      </c>
      <c r="M61" s="220">
        <v>5.25</v>
      </c>
      <c r="N61" s="221">
        <f t="shared" si="6"/>
        <v>-0.60527462946817767</v>
      </c>
    </row>
    <row r="62" spans="1:15" x14ac:dyDescent="0.25">
      <c r="A62" s="1">
        <v>10</v>
      </c>
      <c r="B62" s="145" t="s">
        <v>91</v>
      </c>
      <c r="C62" s="220">
        <v>4.8207171314741037</v>
      </c>
      <c r="D62" s="221">
        <v>0.93619746995095809</v>
      </c>
      <c r="E62" s="220">
        <v>4.9938775510204083</v>
      </c>
      <c r="F62" s="221">
        <f t="shared" si="5"/>
        <v>0.17316041954630457</v>
      </c>
      <c r="G62" s="220">
        <v>4.6286201022146507</v>
      </c>
      <c r="H62" s="221">
        <f t="shared" si="5"/>
        <v>-0.36525744880575761</v>
      </c>
      <c r="I62" s="220">
        <v>4.8662790697674421</v>
      </c>
      <c r="J62" s="221">
        <f t="shared" si="5"/>
        <v>0.23765896755279137</v>
      </c>
      <c r="K62" s="220">
        <v>5.0836909871244638</v>
      </c>
      <c r="L62" s="221">
        <f t="shared" si="6"/>
        <v>0.2174119173570217</v>
      </c>
      <c r="M62" s="220"/>
      <c r="N62" s="221"/>
    </row>
    <row r="63" spans="1:15" x14ac:dyDescent="0.25">
      <c r="A63" s="1">
        <v>11</v>
      </c>
      <c r="B63" s="145" t="s">
        <v>93</v>
      </c>
      <c r="C63" s="220">
        <v>4.9330543933054392</v>
      </c>
      <c r="D63" s="221">
        <v>0.56119509682302748</v>
      </c>
      <c r="E63" s="220">
        <v>5.2996845425867507</v>
      </c>
      <c r="F63" s="221">
        <f t="shared" si="5"/>
        <v>0.36663014928131155</v>
      </c>
      <c r="G63" s="220">
        <v>4.5814977973568283</v>
      </c>
      <c r="H63" s="221">
        <f t="shared" si="5"/>
        <v>-0.71818674522992243</v>
      </c>
      <c r="I63" s="220">
        <v>4.4314049586776862</v>
      </c>
      <c r="J63" s="221">
        <f t="shared" si="5"/>
        <v>-0.15009283867914203</v>
      </c>
      <c r="K63" s="220">
        <v>4.5080042689434361</v>
      </c>
      <c r="L63" s="221">
        <f t="shared" si="6"/>
        <v>7.6599310265749843E-2</v>
      </c>
      <c r="M63" s="220"/>
      <c r="N63" s="221"/>
    </row>
    <row r="64" spans="1:15" x14ac:dyDescent="0.25">
      <c r="A64" s="1">
        <v>12</v>
      </c>
      <c r="B64" s="145" t="s">
        <v>95</v>
      </c>
      <c r="C64" s="220">
        <v>4.270833333333333</v>
      </c>
      <c r="D64" s="221">
        <v>0.42991959706719474</v>
      </c>
      <c r="E64" s="220">
        <v>4.0808510638297868</v>
      </c>
      <c r="F64" s="221">
        <f t="shared" si="5"/>
        <v>-0.18998226950354624</v>
      </c>
      <c r="G64" s="220">
        <v>4.6321559074299632</v>
      </c>
      <c r="H64" s="221">
        <f t="shared" si="5"/>
        <v>0.5513048436001764</v>
      </c>
      <c r="I64" s="220">
        <v>4.2139201637666321</v>
      </c>
      <c r="J64" s="221">
        <f t="shared" si="5"/>
        <v>-0.41823574366333105</v>
      </c>
      <c r="K64" s="220">
        <v>4.8214285714285712</v>
      </c>
      <c r="L64" s="221">
        <f t="shared" si="6"/>
        <v>0.60750840766193903</v>
      </c>
      <c r="M64" s="220"/>
      <c r="N64" s="221"/>
    </row>
    <row r="65" spans="1:15" ht="15.75" x14ac:dyDescent="0.25">
      <c r="B65" s="148" t="s">
        <v>32</v>
      </c>
      <c r="C65" s="222">
        <v>3.8516443002507006</v>
      </c>
      <c r="D65" s="223">
        <v>-0.88940080053723358</v>
      </c>
      <c r="E65" s="222">
        <v>5.0409218764177481</v>
      </c>
      <c r="F65" s="223">
        <f t="shared" si="5"/>
        <v>1.1892775761670475</v>
      </c>
      <c r="G65" s="222">
        <v>5.2284492213204654</v>
      </c>
      <c r="H65" s="223">
        <f t="shared" si="5"/>
        <v>0.18752734490271727</v>
      </c>
      <c r="I65" s="222">
        <v>4.7866134751773046</v>
      </c>
      <c r="J65" s="223">
        <f t="shared" si="5"/>
        <v>-0.44183574614316079</v>
      </c>
      <c r="K65" s="222">
        <v>5.166019237883833</v>
      </c>
      <c r="L65" s="223">
        <f t="shared" si="6"/>
        <v>0.37940576270652837</v>
      </c>
      <c r="M65" s="222">
        <v>5.2747853239656521</v>
      </c>
      <c r="N65" s="223">
        <v>-1.9045235413649664E-2</v>
      </c>
    </row>
    <row r="66" spans="1:15" ht="6" customHeight="1" x14ac:dyDescent="0.25"/>
    <row r="67" spans="1:15" x14ac:dyDescent="0.25">
      <c r="B67" s="131" t="s">
        <v>57</v>
      </c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</row>
    <row r="70" spans="1:15" ht="48.75" customHeight="1" thickBot="1" x14ac:dyDescent="0.3">
      <c r="B70" s="12" t="s">
        <v>295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" t="s">
        <v>103</v>
      </c>
    </row>
    <row r="71" spans="1:15" ht="10.5" customHeight="1" thickBot="1" x14ac:dyDescent="0.3">
      <c r="B71" s="132"/>
      <c r="C71" s="133"/>
      <c r="D71" s="132"/>
      <c r="E71" s="132"/>
      <c r="F71" s="132"/>
      <c r="G71" s="132"/>
      <c r="H71" s="132"/>
      <c r="I71" s="132"/>
      <c r="J71" s="132"/>
      <c r="K71" s="132"/>
      <c r="L71" s="132"/>
      <c r="M71" s="4"/>
      <c r="N71" s="4"/>
      <c r="O71" s="1" t="s">
        <v>104</v>
      </c>
    </row>
    <row r="72" spans="1:15" ht="22.5" thickTop="1" thickBot="1" x14ac:dyDescent="0.3">
      <c r="B72" s="137"/>
      <c r="C72" s="135" t="s">
        <v>105</v>
      </c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</row>
    <row r="73" spans="1:15" ht="22.5" thickTop="1" thickBot="1" x14ac:dyDescent="0.3">
      <c r="B73" s="137"/>
      <c r="C73" s="138">
        <v>2020</v>
      </c>
      <c r="D73" s="139"/>
      <c r="E73" s="140">
        <v>2021</v>
      </c>
      <c r="F73" s="139"/>
      <c r="G73" s="140">
        <v>2022</v>
      </c>
      <c r="H73" s="139"/>
      <c r="I73" s="140">
        <v>2023</v>
      </c>
      <c r="J73" s="139"/>
      <c r="K73" s="140">
        <v>2024</v>
      </c>
      <c r="L73" s="139"/>
      <c r="M73" s="140">
        <v>2025</v>
      </c>
      <c r="N73" s="141"/>
    </row>
    <row r="74" spans="1:15" ht="16.5" thickTop="1" thickBot="1" x14ac:dyDescent="0.3">
      <c r="B74" s="109"/>
      <c r="C74" s="142" t="s">
        <v>71</v>
      </c>
      <c r="D74" s="143" t="str">
        <f>CONCATENATE("dif ",RIGHT(C73,2),"/",RIGHT(C73-1,2))</f>
        <v>dif 20/19</v>
      </c>
      <c r="E74" s="144" t="s">
        <v>71</v>
      </c>
      <c r="F74" s="143" t="str">
        <f>CONCATENATE("dif ",RIGHT(E73,2),"/",RIGHT(C73,2))</f>
        <v>dif 21/20</v>
      </c>
      <c r="G74" s="144" t="s">
        <v>71</v>
      </c>
      <c r="H74" s="143" t="str">
        <f>CONCATENATE("dif ",RIGHT(G73,2),"/",RIGHT(E73,2))</f>
        <v>dif 22/21</v>
      </c>
      <c r="I74" s="144" t="s">
        <v>71</v>
      </c>
      <c r="J74" s="143" t="str">
        <f>CONCATENATE("dif ",RIGHT(I73,2),"/",RIGHT(G73,2))</f>
        <v>dif 23/22</v>
      </c>
      <c r="K74" s="144" t="s">
        <v>71</v>
      </c>
      <c r="L74" s="143" t="str">
        <f>CONCATENATE("dif ",RIGHT(K73,2),"/",RIGHT(I73,2))</f>
        <v>dif 24/23</v>
      </c>
      <c r="M74" s="144" t="s">
        <v>71</v>
      </c>
      <c r="N74" s="143" t="str">
        <f>CONCATENATE("dif ",RIGHT(M73,2),"/",RIGHT(K73,2))</f>
        <v>dif 25/24</v>
      </c>
    </row>
    <row r="75" spans="1:15" x14ac:dyDescent="0.25">
      <c r="A75" s="1">
        <v>1</v>
      </c>
      <c r="B75" s="145" t="s">
        <v>73</v>
      </c>
      <c r="C75" s="220">
        <v>2.4404040404040406</v>
      </c>
      <c r="D75" s="221">
        <v>-3.8966588966588964</v>
      </c>
      <c r="E75" s="220">
        <v>1.8890425164189422</v>
      </c>
      <c r="F75" s="221">
        <f t="shared" ref="F75:J77" si="7">IFERROR(E75-C75,"-")</f>
        <v>-0.55136152398509841</v>
      </c>
      <c r="G75" s="220">
        <v>5.7030567685589517</v>
      </c>
      <c r="H75" s="221">
        <f t="shared" si="7"/>
        <v>3.8140142521400096</v>
      </c>
      <c r="I75" s="220">
        <v>4.361380798274002</v>
      </c>
      <c r="J75" s="221">
        <f t="shared" si="7"/>
        <v>-1.3416759702849497</v>
      </c>
      <c r="K75" s="220">
        <v>3.444833625218914</v>
      </c>
      <c r="L75" s="221">
        <f t="shared" ref="L75:L77" si="8">IFERROR(K75-I75,"-")</f>
        <v>-0.91654717305508804</v>
      </c>
      <c r="M75" s="220">
        <v>2.439516129032258</v>
      </c>
      <c r="N75" s="221">
        <f t="shared" ref="N75:N83" si="9">IFERROR(M75-K75,"-")</f>
        <v>-1.005317496186656</v>
      </c>
    </row>
    <row r="76" spans="1:15" x14ac:dyDescent="0.25">
      <c r="A76" s="1">
        <v>2</v>
      </c>
      <c r="B76" s="145" t="s">
        <v>75</v>
      </c>
      <c r="C76" s="220">
        <v>3.0010905125408942</v>
      </c>
      <c r="D76" s="221">
        <v>-1.6162096185207049</v>
      </c>
      <c r="E76" s="220">
        <v>2.0027163368257663</v>
      </c>
      <c r="F76" s="221">
        <f t="shared" si="7"/>
        <v>-0.99837417571512788</v>
      </c>
      <c r="G76" s="220">
        <v>2.1572904707233067</v>
      </c>
      <c r="H76" s="221">
        <f t="shared" si="7"/>
        <v>0.15457413389754038</v>
      </c>
      <c r="I76" s="220">
        <v>3.6546310832025117</v>
      </c>
      <c r="J76" s="221">
        <f t="shared" si="7"/>
        <v>1.497340612479205</v>
      </c>
      <c r="K76" s="220">
        <v>1.9333333333333333</v>
      </c>
      <c r="L76" s="221">
        <f t="shared" si="8"/>
        <v>-1.7212977498691784</v>
      </c>
      <c r="M76" s="220">
        <v>2.4962962962962965</v>
      </c>
      <c r="N76" s="221">
        <f t="shared" si="9"/>
        <v>0.56296296296296311</v>
      </c>
    </row>
    <row r="77" spans="1:15" x14ac:dyDescent="0.25">
      <c r="A77" s="1">
        <v>3</v>
      </c>
      <c r="B77" s="145" t="s">
        <v>77</v>
      </c>
      <c r="C77" s="220">
        <v>3.0541310541310542</v>
      </c>
      <c r="D77" s="221">
        <v>-1.6311526338122082</v>
      </c>
      <c r="E77" s="220">
        <v>2.0621095185593532</v>
      </c>
      <c r="F77" s="221">
        <f t="shared" si="7"/>
        <v>-0.99202153557170103</v>
      </c>
      <c r="G77" s="220">
        <v>2.2916666666666665</v>
      </c>
      <c r="H77" s="221">
        <f t="shared" si="7"/>
        <v>0.22955714810731331</v>
      </c>
      <c r="I77" s="220">
        <v>3.2065637065637067</v>
      </c>
      <c r="J77" s="221">
        <f t="shared" si="7"/>
        <v>0.91489703989704019</v>
      </c>
      <c r="K77" s="220">
        <v>2.6110019646365421</v>
      </c>
      <c r="L77" s="221">
        <f t="shared" si="8"/>
        <v>-0.5955617419271646</v>
      </c>
      <c r="M77" s="220">
        <v>2.1323076923076925</v>
      </c>
      <c r="N77" s="221">
        <f t="shared" si="9"/>
        <v>-0.47869427232884965</v>
      </c>
    </row>
    <row r="78" spans="1:15" x14ac:dyDescent="0.25">
      <c r="A78" s="1">
        <v>4</v>
      </c>
      <c r="B78" s="145" t="s">
        <v>79</v>
      </c>
      <c r="C78" s="220" t="s">
        <v>252</v>
      </c>
      <c r="D78" s="221" t="s">
        <v>252</v>
      </c>
      <c r="E78" s="220">
        <v>2.2452393206381882</v>
      </c>
      <c r="F78" s="221" t="str">
        <f>IFERROR(E78-C78,"-")</f>
        <v>-</v>
      </c>
      <c r="G78" s="220">
        <v>2.5253592561284868</v>
      </c>
      <c r="H78" s="221">
        <f>IFERROR(G78-E78,"-")</f>
        <v>0.28011993549029857</v>
      </c>
      <c r="I78" s="220">
        <v>2.5206611570247932</v>
      </c>
      <c r="J78" s="221">
        <f>IFERROR(I78-G78,"-")</f>
        <v>-4.6980991036935649E-3</v>
      </c>
      <c r="K78" s="220">
        <v>3.096341463414634</v>
      </c>
      <c r="L78" s="221">
        <f>IFERROR(K78-I78,"-")</f>
        <v>0.5756803063898408</v>
      </c>
      <c r="M78" s="220">
        <v>2.7497781721384205</v>
      </c>
      <c r="N78" s="221">
        <f t="shared" si="9"/>
        <v>-0.34656329127621355</v>
      </c>
    </row>
    <row r="79" spans="1:15" x14ac:dyDescent="0.25">
      <c r="A79" s="1">
        <v>5</v>
      </c>
      <c r="B79" s="145" t="s">
        <v>81</v>
      </c>
      <c r="C79" s="220" t="s">
        <v>252</v>
      </c>
      <c r="D79" s="221" t="s">
        <v>252</v>
      </c>
      <c r="E79" s="220">
        <v>2.3160682754561508</v>
      </c>
      <c r="F79" s="221" t="str">
        <f t="shared" ref="F79:J87" si="10">IFERROR(E79-C79,"-")</f>
        <v>-</v>
      </c>
      <c r="G79" s="220">
        <v>2.2661579892280073</v>
      </c>
      <c r="H79" s="221">
        <f t="shared" si="10"/>
        <v>-4.991028622814353E-2</v>
      </c>
      <c r="I79" s="220">
        <v>2.9297597042513863</v>
      </c>
      <c r="J79" s="221">
        <f t="shared" si="10"/>
        <v>0.66360171502337906</v>
      </c>
      <c r="K79" s="220">
        <v>2.043032786885246</v>
      </c>
      <c r="L79" s="221">
        <f t="shared" ref="L79:L87" si="11">IFERROR(K79-I79,"-")</f>
        <v>-0.88672691736614029</v>
      </c>
      <c r="M79" s="220">
        <v>2.4108527131782944</v>
      </c>
      <c r="N79" s="221">
        <f t="shared" si="9"/>
        <v>0.36781992629304838</v>
      </c>
    </row>
    <row r="80" spans="1:15" x14ac:dyDescent="0.25">
      <c r="A80" s="1">
        <v>6</v>
      </c>
      <c r="B80" s="145" t="s">
        <v>83</v>
      </c>
      <c r="C80" s="220" t="s">
        <v>252</v>
      </c>
      <c r="D80" s="221" t="s">
        <v>252</v>
      </c>
      <c r="E80" s="220">
        <v>3.0181503889369057</v>
      </c>
      <c r="F80" s="221" t="str">
        <f t="shared" si="10"/>
        <v>-</v>
      </c>
      <c r="G80" s="220">
        <v>2.5742971887550201</v>
      </c>
      <c r="H80" s="221">
        <f t="shared" si="10"/>
        <v>-0.44385320018188557</v>
      </c>
      <c r="I80" s="220">
        <v>2.775473399458972</v>
      </c>
      <c r="J80" s="221">
        <f t="shared" si="10"/>
        <v>0.20117621070395186</v>
      </c>
      <c r="K80" s="220">
        <v>2.7691897654584223</v>
      </c>
      <c r="L80" s="221">
        <f t="shared" si="11"/>
        <v>-6.2836340005496538E-3</v>
      </c>
      <c r="M80" s="220">
        <v>2.1179273377010124</v>
      </c>
      <c r="N80" s="221">
        <f t="shared" si="9"/>
        <v>-0.65126242775740995</v>
      </c>
    </row>
    <row r="81" spans="1:15" x14ac:dyDescent="0.25">
      <c r="A81" s="1">
        <v>7</v>
      </c>
      <c r="B81" s="145" t="s">
        <v>85</v>
      </c>
      <c r="C81" s="220" t="s">
        <v>252</v>
      </c>
      <c r="D81" s="221" t="s">
        <v>252</v>
      </c>
      <c r="E81" s="220">
        <v>3.2458100558659218</v>
      </c>
      <c r="F81" s="221" t="str">
        <f t="shared" si="10"/>
        <v>-</v>
      </c>
      <c r="G81" s="220">
        <v>3.1494768310911807</v>
      </c>
      <c r="H81" s="221">
        <f t="shared" si="10"/>
        <v>-9.6333224774741044E-2</v>
      </c>
      <c r="I81" s="220">
        <v>2.9253037884203001</v>
      </c>
      <c r="J81" s="221">
        <f t="shared" si="10"/>
        <v>-0.22417304267088056</v>
      </c>
      <c r="K81" s="220">
        <v>2.6926795580110499</v>
      </c>
      <c r="L81" s="221">
        <f t="shared" si="11"/>
        <v>-0.23262423040925029</v>
      </c>
      <c r="M81" s="220">
        <v>2.6074561403508771</v>
      </c>
      <c r="N81" s="221">
        <f t="shared" si="9"/>
        <v>-8.5223417660172718E-2</v>
      </c>
    </row>
    <row r="82" spans="1:15" x14ac:dyDescent="0.25">
      <c r="A82" s="1">
        <v>8</v>
      </c>
      <c r="B82" s="145" t="s">
        <v>87</v>
      </c>
      <c r="C82" s="220">
        <v>2.8167539267015709</v>
      </c>
      <c r="D82" s="221">
        <v>-5.0565752728527258E-2</v>
      </c>
      <c r="E82" s="220">
        <v>3.0318364611260056</v>
      </c>
      <c r="F82" s="221">
        <f t="shared" si="10"/>
        <v>0.2150825344244347</v>
      </c>
      <c r="G82" s="220">
        <v>3.2569093967796201</v>
      </c>
      <c r="H82" s="221">
        <f t="shared" si="10"/>
        <v>0.22507293565361453</v>
      </c>
      <c r="I82" s="220">
        <v>3.095080763582966</v>
      </c>
      <c r="J82" s="221">
        <f t="shared" si="10"/>
        <v>-0.16182863319665408</v>
      </c>
      <c r="K82" s="220">
        <v>2.4124620060790272</v>
      </c>
      <c r="L82" s="221">
        <f t="shared" si="11"/>
        <v>-0.68261875750393886</v>
      </c>
      <c r="M82" s="220">
        <v>3.2130421953378576</v>
      </c>
      <c r="N82" s="221">
        <f t="shared" si="9"/>
        <v>0.80058018925883045</v>
      </c>
    </row>
    <row r="83" spans="1:15" x14ac:dyDescent="0.25">
      <c r="A83" s="1">
        <v>9</v>
      </c>
      <c r="B83" s="145" t="s">
        <v>89</v>
      </c>
      <c r="C83" s="220">
        <v>2.4267114657706848</v>
      </c>
      <c r="D83" s="221">
        <v>-2.5261135479429737</v>
      </c>
      <c r="E83" s="220">
        <v>2.662509742790335</v>
      </c>
      <c r="F83" s="221">
        <f t="shared" si="10"/>
        <v>0.23579827701965028</v>
      </c>
      <c r="G83" s="220">
        <v>2.8530805687203791</v>
      </c>
      <c r="H83" s="221">
        <f t="shared" si="10"/>
        <v>0.19057082593004404</v>
      </c>
      <c r="I83" s="220">
        <v>2.8063694267515924</v>
      </c>
      <c r="J83" s="221">
        <f t="shared" si="10"/>
        <v>-4.6711141968786674E-2</v>
      </c>
      <c r="K83" s="220">
        <v>2.6794795978710821</v>
      </c>
      <c r="L83" s="221">
        <f t="shared" si="11"/>
        <v>-0.12688982888051026</v>
      </c>
      <c r="M83" s="220">
        <v>3.0464354001638898</v>
      </c>
      <c r="N83" s="221">
        <f t="shared" si="9"/>
        <v>0.36695580229280766</v>
      </c>
    </row>
    <row r="84" spans="1:15" x14ac:dyDescent="0.25">
      <c r="A84" s="1">
        <v>10</v>
      </c>
      <c r="B84" s="145" t="s">
        <v>91</v>
      </c>
      <c r="C84" s="220">
        <v>2.1238475722188075</v>
      </c>
      <c r="D84" s="221">
        <v>-1.5992459918698891</v>
      </c>
      <c r="E84" s="220">
        <v>2.5854829034193161</v>
      </c>
      <c r="F84" s="221">
        <f t="shared" si="10"/>
        <v>0.46163533120050859</v>
      </c>
      <c r="G84" s="220">
        <v>2.9624060150375939</v>
      </c>
      <c r="H84" s="221">
        <f t="shared" si="10"/>
        <v>0.37692311161827785</v>
      </c>
      <c r="I84" s="220">
        <v>2.5399644760213143</v>
      </c>
      <c r="J84" s="221">
        <f t="shared" si="10"/>
        <v>-0.42244153901627968</v>
      </c>
      <c r="K84" s="220">
        <v>2.6699256941728589</v>
      </c>
      <c r="L84" s="221">
        <f t="shared" si="11"/>
        <v>0.1299612181515446</v>
      </c>
      <c r="M84" s="220"/>
      <c r="N84" s="221"/>
    </row>
    <row r="85" spans="1:15" x14ac:dyDescent="0.25">
      <c r="A85" s="1">
        <v>11</v>
      </c>
      <c r="B85" s="145" t="s">
        <v>93</v>
      </c>
      <c r="C85" s="220">
        <v>3.767195767195767</v>
      </c>
      <c r="D85" s="221">
        <v>1.0541336686946963</v>
      </c>
      <c r="E85" s="220">
        <v>2.79484425349087</v>
      </c>
      <c r="F85" s="221">
        <f t="shared" si="10"/>
        <v>-0.97235151370489703</v>
      </c>
      <c r="G85" s="220">
        <v>2.9164037854889591</v>
      </c>
      <c r="H85" s="221">
        <f t="shared" si="10"/>
        <v>0.12155953199808911</v>
      </c>
      <c r="I85" s="220">
        <v>2.5729013254786453</v>
      </c>
      <c r="J85" s="221">
        <f t="shared" si="10"/>
        <v>-0.34350246001031381</v>
      </c>
      <c r="K85" s="220">
        <v>4.0245231607629428</v>
      </c>
      <c r="L85" s="221">
        <f t="shared" si="11"/>
        <v>1.4516218352842976</v>
      </c>
      <c r="M85" s="220"/>
      <c r="N85" s="221"/>
    </row>
    <row r="86" spans="1:15" x14ac:dyDescent="0.25">
      <c r="A86" s="1">
        <v>12</v>
      </c>
      <c r="B86" s="145" t="s">
        <v>95</v>
      </c>
      <c r="C86" s="220">
        <v>2.0899808551372048</v>
      </c>
      <c r="D86" s="221">
        <v>1.337408533153214</v>
      </c>
      <c r="E86" s="220">
        <v>2.6834208552138032</v>
      </c>
      <c r="F86" s="221">
        <f t="shared" si="10"/>
        <v>0.59344000007659847</v>
      </c>
      <c r="G86" s="220">
        <v>3.7782217782217784</v>
      </c>
      <c r="H86" s="221">
        <f t="shared" si="10"/>
        <v>1.0948009230079752</v>
      </c>
      <c r="I86" s="220">
        <v>2.5320088300220749</v>
      </c>
      <c r="J86" s="221">
        <f t="shared" si="10"/>
        <v>-1.2462129481997035</v>
      </c>
      <c r="K86" s="220">
        <v>2.1342281879194629</v>
      </c>
      <c r="L86" s="221">
        <f t="shared" si="11"/>
        <v>-0.39778064210261199</v>
      </c>
      <c r="M86" s="220"/>
      <c r="N86" s="221"/>
    </row>
    <row r="87" spans="1:15" ht="15.75" x14ac:dyDescent="0.25">
      <c r="B87" s="148" t="s">
        <v>32</v>
      </c>
      <c r="C87" s="222">
        <v>2.5455179978063613</v>
      </c>
      <c r="D87" s="223">
        <v>-1.2643654895379535</v>
      </c>
      <c r="E87" s="222">
        <v>2.5277672174294485</v>
      </c>
      <c r="F87" s="223">
        <f t="shared" si="10"/>
        <v>-1.77507803769128E-2</v>
      </c>
      <c r="G87" s="222">
        <v>2.8855237426665998</v>
      </c>
      <c r="H87" s="223">
        <f t="shared" si="10"/>
        <v>0.35775652523715129</v>
      </c>
      <c r="I87" s="222">
        <v>2.8975793229819655</v>
      </c>
      <c r="J87" s="223">
        <f t="shared" si="10"/>
        <v>1.2055580315365688E-2</v>
      </c>
      <c r="K87" s="222">
        <v>2.6058445798868091</v>
      </c>
      <c r="L87" s="223">
        <f t="shared" si="11"/>
        <v>-0.29173474309515646</v>
      </c>
      <c r="M87" s="222">
        <v>2.7651463998526795</v>
      </c>
      <c r="N87" s="223">
        <v>0.19087115826654166</v>
      </c>
    </row>
    <row r="88" spans="1:15" ht="6" customHeight="1" x14ac:dyDescent="0.25"/>
    <row r="89" spans="1:15" x14ac:dyDescent="0.25">
      <c r="B89" s="131" t="s">
        <v>57</v>
      </c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</row>
    <row r="92" spans="1:15" ht="48.75" customHeight="1" thickBot="1" x14ac:dyDescent="0.3">
      <c r="B92" s="12" t="s">
        <v>296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" t="s">
        <v>106</v>
      </c>
    </row>
    <row r="93" spans="1:15" ht="10.5" customHeight="1" thickBot="1" x14ac:dyDescent="0.3">
      <c r="B93" s="132"/>
      <c r="C93" s="133"/>
      <c r="D93" s="132"/>
      <c r="E93" s="132"/>
      <c r="F93" s="132"/>
      <c r="G93" s="132"/>
      <c r="H93" s="132"/>
      <c r="I93" s="132"/>
      <c r="J93" s="132"/>
      <c r="K93" s="132"/>
      <c r="L93" s="132"/>
      <c r="M93" s="4"/>
      <c r="N93" s="4"/>
      <c r="O93" s="1" t="s">
        <v>107</v>
      </c>
    </row>
    <row r="94" spans="1:15" ht="22.5" thickTop="1" thickBot="1" x14ac:dyDescent="0.3">
      <c r="B94" s="152" t="s">
        <v>108</v>
      </c>
      <c r="C94" s="135" t="s">
        <v>109</v>
      </c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</row>
    <row r="95" spans="1:15" ht="22.5" thickTop="1" thickBot="1" x14ac:dyDescent="0.3">
      <c r="B95" s="137"/>
      <c r="C95" s="138">
        <v>2020</v>
      </c>
      <c r="D95" s="139"/>
      <c r="E95" s="140">
        <v>2021</v>
      </c>
      <c r="F95" s="139"/>
      <c r="G95" s="140">
        <v>2022</v>
      </c>
      <c r="H95" s="139"/>
      <c r="I95" s="140">
        <v>2023</v>
      </c>
      <c r="J95" s="139"/>
      <c r="K95" s="140">
        <v>2024</v>
      </c>
      <c r="L95" s="139"/>
      <c r="M95" s="140">
        <v>2025</v>
      </c>
      <c r="N95" s="141"/>
    </row>
    <row r="96" spans="1:15" ht="16.5" thickTop="1" thickBot="1" x14ac:dyDescent="0.3">
      <c r="B96" s="109"/>
      <c r="C96" s="142" t="s">
        <v>71</v>
      </c>
      <c r="D96" s="143" t="str">
        <f>CONCATENATE("dif ",RIGHT(C95,2),"/",RIGHT(C95-1,2))</f>
        <v>dif 20/19</v>
      </c>
      <c r="E96" s="144" t="s">
        <v>71</v>
      </c>
      <c r="F96" s="143" t="str">
        <f>CONCATENATE("dif ",RIGHT(E95,2),"/",RIGHT(C95,2))</f>
        <v>dif 21/20</v>
      </c>
      <c r="G96" s="144" t="s">
        <v>71</v>
      </c>
      <c r="H96" s="143" t="str">
        <f>CONCATENATE("dif ",RIGHT(G95,2),"/",RIGHT(E95,2))</f>
        <v>dif 22/21</v>
      </c>
      <c r="I96" s="144" t="s">
        <v>71</v>
      </c>
      <c r="J96" s="143" t="str">
        <f>CONCATENATE("dif ",RIGHT(I95,2),"/",RIGHT(G95,2))</f>
        <v>dif 23/22</v>
      </c>
      <c r="K96" s="144" t="s">
        <v>71</v>
      </c>
      <c r="L96" s="143" t="str">
        <f>CONCATENATE("dif ",RIGHT(K95,2),"/",RIGHT(I95,2))</f>
        <v>dif 24/23</v>
      </c>
      <c r="M96" s="144" t="s">
        <v>71</v>
      </c>
      <c r="N96" s="143" t="str">
        <f>CONCATENATE("dif ",RIGHT(M95,2),"/",RIGHT(K95,2))</f>
        <v>dif 25/24</v>
      </c>
    </row>
    <row r="97" spans="2:14" x14ac:dyDescent="0.25">
      <c r="B97" s="145" t="s">
        <v>73</v>
      </c>
      <c r="C97" s="220">
        <v>7.6712532171847156</v>
      </c>
      <c r="D97" s="221">
        <v>-0.5296633022499142</v>
      </c>
      <c r="E97" s="220">
        <v>6.4585365853658541</v>
      </c>
      <c r="F97" s="221">
        <f t="shared" ref="F97:J99" si="12">IFERROR(E97-C97,"-")</f>
        <v>-1.2127166318188616</v>
      </c>
      <c r="G97" s="220">
        <v>7.446546384812172</v>
      </c>
      <c r="H97" s="221">
        <f t="shared" si="12"/>
        <v>0.98800979944631795</v>
      </c>
      <c r="I97" s="220">
        <v>7.4965692625113958</v>
      </c>
      <c r="J97" s="221">
        <f t="shared" si="12"/>
        <v>5.0022877699223756E-2</v>
      </c>
      <c r="K97" s="220">
        <v>7.8066888703857895</v>
      </c>
      <c r="L97" s="221">
        <f t="shared" ref="L97:L99" si="13">IFERROR(K97-I97,"-")</f>
        <v>0.31011960787439374</v>
      </c>
      <c r="M97" s="220">
        <v>7.6465378050468242</v>
      </c>
      <c r="N97" s="221">
        <f t="shared" ref="N97:N105" si="14">IFERROR(M97-K97,"-")</f>
        <v>-0.16015106533896528</v>
      </c>
    </row>
    <row r="98" spans="2:14" x14ac:dyDescent="0.25">
      <c r="B98" s="145" t="s">
        <v>75</v>
      </c>
      <c r="C98" s="220">
        <v>7.9861051832882817</v>
      </c>
      <c r="D98" s="221">
        <v>0.12353655250773077</v>
      </c>
      <c r="E98" s="220">
        <v>5.3278617710583154</v>
      </c>
      <c r="F98" s="221">
        <f t="shared" si="12"/>
        <v>-2.6582434122299663</v>
      </c>
      <c r="G98" s="220">
        <v>6.7661735700197241</v>
      </c>
      <c r="H98" s="221">
        <f t="shared" si="12"/>
        <v>1.4383117989614087</v>
      </c>
      <c r="I98" s="220">
        <v>6.916271649954421</v>
      </c>
      <c r="J98" s="221">
        <f t="shared" si="12"/>
        <v>0.15009807993469693</v>
      </c>
      <c r="K98" s="220">
        <v>7.2371334927805826</v>
      </c>
      <c r="L98" s="221">
        <f t="shared" si="13"/>
        <v>0.32086184282616159</v>
      </c>
      <c r="M98" s="220">
        <v>7.3257572407694012</v>
      </c>
      <c r="N98" s="221">
        <f t="shared" si="14"/>
        <v>8.8623747988818558E-2</v>
      </c>
    </row>
    <row r="99" spans="2:14" x14ac:dyDescent="0.25">
      <c r="B99" s="145" t="s">
        <v>77</v>
      </c>
      <c r="C99" s="220">
        <v>9.565103234276167</v>
      </c>
      <c r="D99" s="221">
        <v>1.7958467783545284</v>
      </c>
      <c r="E99" s="220">
        <v>6.549460043196544</v>
      </c>
      <c r="F99" s="221">
        <f t="shared" si="12"/>
        <v>-3.0156431910796231</v>
      </c>
      <c r="G99" s="220">
        <v>6.9455044810638915</v>
      </c>
      <c r="H99" s="221">
        <f t="shared" si="12"/>
        <v>0.39604443786734755</v>
      </c>
      <c r="I99" s="220">
        <v>7.0174319300713357</v>
      </c>
      <c r="J99" s="221">
        <f t="shared" si="12"/>
        <v>7.1927449007444189E-2</v>
      </c>
      <c r="K99" s="220">
        <v>6.7771826031339941</v>
      </c>
      <c r="L99" s="221">
        <f t="shared" si="13"/>
        <v>-0.24024932693734158</v>
      </c>
      <c r="M99" s="220">
        <v>7.0455783783783783</v>
      </c>
      <c r="N99" s="221">
        <f t="shared" si="14"/>
        <v>0.26839577524438418</v>
      </c>
    </row>
    <row r="100" spans="2:14" x14ac:dyDescent="0.25">
      <c r="B100" s="145" t="s">
        <v>79</v>
      </c>
      <c r="C100" s="220" t="s">
        <v>252</v>
      </c>
      <c r="D100" s="221" t="s">
        <v>252</v>
      </c>
      <c r="E100" s="220">
        <v>5.5182413470533209</v>
      </c>
      <c r="F100" s="221" t="str">
        <f>IFERROR(E100-C100,"-")</f>
        <v>-</v>
      </c>
      <c r="G100" s="220">
        <v>6.9061900191938577</v>
      </c>
      <c r="H100" s="221">
        <f>IFERROR(G100-E100,"-")</f>
        <v>1.3879486721405367</v>
      </c>
      <c r="I100" s="220">
        <v>6.8450769230769231</v>
      </c>
      <c r="J100" s="221">
        <f>IFERROR(I100-G100,"-")</f>
        <v>-6.1113096116934607E-2</v>
      </c>
      <c r="K100" s="220">
        <v>7.1761118048218231</v>
      </c>
      <c r="L100" s="221">
        <f>IFERROR(K100-I100,"-")</f>
        <v>0.33103488174490003</v>
      </c>
      <c r="M100" s="220">
        <v>7.1445442996282882</v>
      </c>
      <c r="N100" s="221">
        <f t="shared" si="14"/>
        <v>-3.1567505193534906E-2</v>
      </c>
    </row>
    <row r="101" spans="2:14" x14ac:dyDescent="0.25">
      <c r="B101" s="145" t="s">
        <v>81</v>
      </c>
      <c r="C101" s="220" t="s">
        <v>252</v>
      </c>
      <c r="D101" s="221" t="s">
        <v>252</v>
      </c>
      <c r="E101" s="220">
        <v>5.0102339181286553</v>
      </c>
      <c r="F101" s="221" t="str">
        <f t="shared" ref="F101:J109" si="15">IFERROR(E101-C101,"-")</f>
        <v>-</v>
      </c>
      <c r="G101" s="220">
        <v>6.806944923536852</v>
      </c>
      <c r="H101" s="221">
        <f t="shared" si="15"/>
        <v>1.7967110054081967</v>
      </c>
      <c r="I101" s="220">
        <v>6.9376146788990827</v>
      </c>
      <c r="J101" s="221">
        <f t="shared" si="15"/>
        <v>0.13066975536223069</v>
      </c>
      <c r="K101" s="220">
        <v>7.215223838440898</v>
      </c>
      <c r="L101" s="221">
        <f t="shared" ref="L101:L109" si="16">IFERROR(K101-I101,"-")</f>
        <v>0.27760915954181531</v>
      </c>
      <c r="M101" s="220">
        <v>7.6977217479789699</v>
      </c>
      <c r="N101" s="221">
        <f t="shared" si="14"/>
        <v>0.48249790953807192</v>
      </c>
    </row>
    <row r="102" spans="2:14" x14ac:dyDescent="0.25">
      <c r="B102" s="145" t="s">
        <v>83</v>
      </c>
      <c r="C102" s="220" t="s">
        <v>252</v>
      </c>
      <c r="D102" s="221" t="s">
        <v>252</v>
      </c>
      <c r="E102" s="220">
        <v>6.4601671309192197</v>
      </c>
      <c r="F102" s="221" t="str">
        <f t="shared" si="15"/>
        <v>-</v>
      </c>
      <c r="G102" s="220">
        <v>7.3947944395149365</v>
      </c>
      <c r="H102" s="221">
        <f t="shared" si="15"/>
        <v>0.93462730859571685</v>
      </c>
      <c r="I102" s="220">
        <v>7.4332802003871112</v>
      </c>
      <c r="J102" s="221">
        <f t="shared" si="15"/>
        <v>3.8485760872174701E-2</v>
      </c>
      <c r="K102" s="220">
        <v>7.3506738946635499</v>
      </c>
      <c r="L102" s="221">
        <f t="shared" si="16"/>
        <v>-8.2606305723561313E-2</v>
      </c>
      <c r="M102" s="220">
        <v>7.2467262934229382</v>
      </c>
      <c r="N102" s="221">
        <f t="shared" si="14"/>
        <v>-0.10394760124061175</v>
      </c>
    </row>
    <row r="103" spans="2:14" x14ac:dyDescent="0.25">
      <c r="B103" s="145" t="s">
        <v>85</v>
      </c>
      <c r="C103" s="220" t="s">
        <v>252</v>
      </c>
      <c r="D103" s="221" t="s">
        <v>252</v>
      </c>
      <c r="E103" s="220">
        <v>7.0141099261689908</v>
      </c>
      <c r="F103" s="221" t="str">
        <f t="shared" si="15"/>
        <v>-</v>
      </c>
      <c r="G103" s="220">
        <v>7.4779303837282445</v>
      </c>
      <c r="H103" s="221">
        <f t="shared" si="15"/>
        <v>0.46382045755925372</v>
      </c>
      <c r="I103" s="220">
        <v>7.5134418022528164</v>
      </c>
      <c r="J103" s="221">
        <f t="shared" si="15"/>
        <v>3.5511418524571958E-2</v>
      </c>
      <c r="K103" s="220">
        <v>7.632933930032241</v>
      </c>
      <c r="L103" s="221">
        <f t="shared" si="16"/>
        <v>0.11949212777942453</v>
      </c>
      <c r="M103" s="220">
        <v>7.6586061051857302</v>
      </c>
      <c r="N103" s="221">
        <f t="shared" si="14"/>
        <v>2.5672175153489185E-2</v>
      </c>
    </row>
    <row r="104" spans="2:14" x14ac:dyDescent="0.25">
      <c r="B104" s="145" t="s">
        <v>87</v>
      </c>
      <c r="C104" s="220">
        <v>6.8154285714285718</v>
      </c>
      <c r="D104" s="221">
        <v>-1.9958331001724305</v>
      </c>
      <c r="E104" s="220">
        <v>6.4512410426835602</v>
      </c>
      <c r="F104" s="221">
        <f t="shared" si="15"/>
        <v>-0.36418752874501159</v>
      </c>
      <c r="G104" s="220">
        <v>8.1645854015361312</v>
      </c>
      <c r="H104" s="221">
        <f t="shared" si="15"/>
        <v>1.713344358852571</v>
      </c>
      <c r="I104" s="220">
        <v>7.7616424165371756</v>
      </c>
      <c r="J104" s="221">
        <f t="shared" si="15"/>
        <v>-0.40294298499895564</v>
      </c>
      <c r="K104" s="220">
        <v>7.9521933927428483</v>
      </c>
      <c r="L104" s="221">
        <f t="shared" si="16"/>
        <v>0.19055097620567274</v>
      </c>
      <c r="M104" s="220">
        <v>8.2997506234413958</v>
      </c>
      <c r="N104" s="221">
        <f t="shared" si="14"/>
        <v>0.34755723069854749</v>
      </c>
    </row>
    <row r="105" spans="2:14" x14ac:dyDescent="0.25">
      <c r="B105" s="145" t="s">
        <v>89</v>
      </c>
      <c r="C105" s="220">
        <v>7.0841442472810536</v>
      </c>
      <c r="D105" s="221">
        <v>-1.3715046217191302</v>
      </c>
      <c r="E105" s="220">
        <v>7.082481389578164</v>
      </c>
      <c r="F105" s="221">
        <f t="shared" si="15"/>
        <v>-1.662857702889653E-3</v>
      </c>
      <c r="G105" s="220">
        <v>7.4192040278110767</v>
      </c>
      <c r="H105" s="221">
        <f t="shared" si="15"/>
        <v>0.33672263823291271</v>
      </c>
      <c r="I105" s="220">
        <v>7.3991134372997225</v>
      </c>
      <c r="J105" s="221">
        <f t="shared" si="15"/>
        <v>-2.00905905113542E-2</v>
      </c>
      <c r="K105" s="220">
        <v>7.3389119058002619</v>
      </c>
      <c r="L105" s="221">
        <f t="shared" si="16"/>
        <v>-6.0201531499460614E-2</v>
      </c>
      <c r="M105" s="220">
        <v>7.6414130666099167</v>
      </c>
      <c r="N105" s="221">
        <f t="shared" si="14"/>
        <v>0.30250116080965483</v>
      </c>
    </row>
    <row r="106" spans="2:14" x14ac:dyDescent="0.25">
      <c r="B106" s="145" t="s">
        <v>91</v>
      </c>
      <c r="C106" s="220">
        <v>5.1605362667583359</v>
      </c>
      <c r="D106" s="221">
        <v>-2.5882101043158263</v>
      </c>
      <c r="E106" s="220">
        <v>6.5688409646233934</v>
      </c>
      <c r="F106" s="221">
        <f t="shared" si="15"/>
        <v>1.4083046978650575</v>
      </c>
      <c r="G106" s="220">
        <v>7.1699071387115501</v>
      </c>
      <c r="H106" s="221">
        <f t="shared" si="15"/>
        <v>0.60106617408815666</v>
      </c>
      <c r="I106" s="220">
        <v>7.2059213433495364</v>
      </c>
      <c r="J106" s="221">
        <f t="shared" si="15"/>
        <v>3.6014204637986325E-2</v>
      </c>
      <c r="K106" s="220">
        <v>6.9657051819553919</v>
      </c>
      <c r="L106" s="221">
        <f t="shared" si="16"/>
        <v>-0.24021616139414448</v>
      </c>
      <c r="M106" s="220"/>
      <c r="N106" s="221"/>
    </row>
    <row r="107" spans="2:14" x14ac:dyDescent="0.25">
      <c r="B107" s="145" t="s">
        <v>93</v>
      </c>
      <c r="C107" s="220">
        <v>7.2765894236482476</v>
      </c>
      <c r="D107" s="221">
        <v>-0.57442010448242353</v>
      </c>
      <c r="E107" s="220">
        <v>7.1657880580957505</v>
      </c>
      <c r="F107" s="221">
        <f t="shared" si="15"/>
        <v>-0.11080136555249709</v>
      </c>
      <c r="G107" s="220">
        <v>7.4580561252563653</v>
      </c>
      <c r="H107" s="221">
        <f t="shared" si="15"/>
        <v>0.29226806716061482</v>
      </c>
      <c r="I107" s="220">
        <v>6.9781878462679403</v>
      </c>
      <c r="J107" s="221">
        <f t="shared" si="15"/>
        <v>-0.47986827898842499</v>
      </c>
      <c r="K107" s="220">
        <v>7.1145564168819986</v>
      </c>
      <c r="L107" s="221">
        <f t="shared" si="16"/>
        <v>0.13636857061405827</v>
      </c>
      <c r="M107" s="220"/>
      <c r="N107" s="221"/>
    </row>
    <row r="108" spans="2:14" x14ac:dyDescent="0.25">
      <c r="B108" s="145" t="s">
        <v>95</v>
      </c>
      <c r="C108" s="220">
        <v>6.5108942351339083</v>
      </c>
      <c r="D108" s="221">
        <v>-1.0289287737156494</v>
      </c>
      <c r="E108" s="220">
        <v>6.5794545249633725</v>
      </c>
      <c r="F108" s="221">
        <f t="shared" si="15"/>
        <v>6.8560289829464161E-2</v>
      </c>
      <c r="G108" s="220">
        <v>6.9214928015654849</v>
      </c>
      <c r="H108" s="221">
        <f t="shared" si="15"/>
        <v>0.34203827660211239</v>
      </c>
      <c r="I108" s="220">
        <v>6.8337751022058493</v>
      </c>
      <c r="J108" s="221">
        <f t="shared" si="15"/>
        <v>-8.7717699359635581E-2</v>
      </c>
      <c r="K108" s="220">
        <v>7.0803069754693713</v>
      </c>
      <c r="L108" s="221">
        <f t="shared" si="16"/>
        <v>0.24653187326352199</v>
      </c>
      <c r="M108" s="220"/>
      <c r="N108" s="221"/>
    </row>
    <row r="109" spans="2:14" ht="15.75" x14ac:dyDescent="0.25">
      <c r="B109" s="148" t="s">
        <v>32</v>
      </c>
      <c r="C109" s="222">
        <v>7.6399587640674662</v>
      </c>
      <c r="D109" s="223">
        <v>-0.49038275083380345</v>
      </c>
      <c r="E109" s="222">
        <v>6.6540103016924208</v>
      </c>
      <c r="F109" s="223">
        <f t="shared" si="15"/>
        <v>-0.98594846237504541</v>
      </c>
      <c r="G109" s="222">
        <v>7.225848037324166</v>
      </c>
      <c r="H109" s="223">
        <f t="shared" si="15"/>
        <v>0.57183773563174523</v>
      </c>
      <c r="I109" s="222">
        <v>7.1890816624489</v>
      </c>
      <c r="J109" s="223">
        <f t="shared" si="15"/>
        <v>-3.6766374875266017E-2</v>
      </c>
      <c r="K109" s="222">
        <v>7.2887844034923557</v>
      </c>
      <c r="L109" s="223">
        <f t="shared" si="16"/>
        <v>9.9702741043455667E-2</v>
      </c>
      <c r="M109" s="222">
        <v>7.5090173830357809</v>
      </c>
      <c r="N109" s="223">
        <v>0.13579130610464141</v>
      </c>
    </row>
    <row r="110" spans="2:14" ht="6" customHeight="1" x14ac:dyDescent="0.25"/>
    <row r="111" spans="2:14" x14ac:dyDescent="0.25">
      <c r="B111" s="131" t="s">
        <v>57</v>
      </c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</row>
    <row r="114" spans="1:15" ht="48.75" customHeight="1" thickBot="1" x14ac:dyDescent="0.3">
      <c r="B114" s="12" t="s">
        <v>297</v>
      </c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" t="s">
        <v>110</v>
      </c>
    </row>
    <row r="115" spans="1:15" ht="10.5" customHeight="1" thickBot="1" x14ac:dyDescent="0.3">
      <c r="B115" s="132"/>
      <c r="C115" s="133"/>
      <c r="D115" s="132"/>
      <c r="E115" s="132"/>
      <c r="F115" s="132"/>
      <c r="G115" s="132"/>
      <c r="H115" s="132"/>
      <c r="I115" s="132"/>
      <c r="J115" s="132"/>
      <c r="K115" s="132"/>
      <c r="L115" s="132"/>
      <c r="M115" s="4"/>
      <c r="N115" s="4"/>
      <c r="O115" s="1" t="s">
        <v>111</v>
      </c>
    </row>
    <row r="116" spans="1:15" ht="22.5" thickTop="1" thickBot="1" x14ac:dyDescent="0.3">
      <c r="B116" s="152" t="str">
        <f>C116</f>
        <v>Reino Unido</v>
      </c>
      <c r="C116" s="135" t="s">
        <v>112</v>
      </c>
      <c r="D116" s="136"/>
      <c r="E116" s="136"/>
      <c r="F116" s="136"/>
      <c r="G116" s="136"/>
      <c r="H116" s="136"/>
      <c r="I116" s="136"/>
      <c r="J116" s="136"/>
      <c r="K116" s="136"/>
      <c r="L116" s="136"/>
      <c r="M116" s="136"/>
      <c r="N116" s="136"/>
    </row>
    <row r="117" spans="1:15" ht="22.5" thickTop="1" thickBot="1" x14ac:dyDescent="0.3">
      <c r="B117" s="137"/>
      <c r="C117" s="138">
        <v>2020</v>
      </c>
      <c r="D117" s="139"/>
      <c r="E117" s="140">
        <v>2021</v>
      </c>
      <c r="F117" s="139"/>
      <c r="G117" s="140">
        <v>2022</v>
      </c>
      <c r="H117" s="139"/>
      <c r="I117" s="140">
        <v>2023</v>
      </c>
      <c r="J117" s="139"/>
      <c r="K117" s="140">
        <v>2024</v>
      </c>
      <c r="L117" s="139"/>
      <c r="M117" s="140">
        <v>2025</v>
      </c>
      <c r="N117" s="141"/>
    </row>
    <row r="118" spans="1:15" ht="16.5" thickTop="1" thickBot="1" x14ac:dyDescent="0.3">
      <c r="B118" s="109"/>
      <c r="C118" s="142" t="s">
        <v>71</v>
      </c>
      <c r="D118" s="143" t="str">
        <f>CONCATENATE("dif ",RIGHT(C117,2),"/",RIGHT(C117-1,2))</f>
        <v>dif 20/19</v>
      </c>
      <c r="E118" s="144" t="s">
        <v>71</v>
      </c>
      <c r="F118" s="143" t="str">
        <f>CONCATENATE("dif ",RIGHT(E117,2),"/",RIGHT(C117,2))</f>
        <v>dif 21/20</v>
      </c>
      <c r="G118" s="144" t="s">
        <v>71</v>
      </c>
      <c r="H118" s="143" t="str">
        <f>CONCATENATE("dif ",RIGHT(G117,2),"/",RIGHT(E117,2))</f>
        <v>dif 22/21</v>
      </c>
      <c r="I118" s="144" t="s">
        <v>71</v>
      </c>
      <c r="J118" s="143" t="str">
        <f>CONCATENATE("dif ",RIGHT(I117,2),"/",RIGHT(G117,2))</f>
        <v>dif 23/22</v>
      </c>
      <c r="K118" s="144" t="s">
        <v>71</v>
      </c>
      <c r="L118" s="143" t="str">
        <f>CONCATENATE("dif ",RIGHT(K117,2),"/",RIGHT(I117,2))</f>
        <v>dif 24/23</v>
      </c>
      <c r="M118" s="144" t="s">
        <v>71</v>
      </c>
      <c r="N118" s="143" t="str">
        <f>CONCATENATE("dif ",RIGHT(M117,2),"/",RIGHT(K117,2))</f>
        <v>dif 25/24</v>
      </c>
    </row>
    <row r="119" spans="1:15" x14ac:dyDescent="0.25">
      <c r="B119" s="145" t="s">
        <v>73</v>
      </c>
      <c r="C119" s="220">
        <v>8.6530306522240146</v>
      </c>
      <c r="D119" s="221">
        <v>-2.1207018751013607E-2</v>
      </c>
      <c r="E119" s="220">
        <v>6.5042016806722689</v>
      </c>
      <c r="F119" s="221">
        <f t="shared" ref="F119:J121" si="17">IFERROR(E119-C119,"-")</f>
        <v>-2.1488289715517457</v>
      </c>
      <c r="G119" s="220">
        <v>7.8397561506640541</v>
      </c>
      <c r="H119" s="221">
        <f t="shared" si="17"/>
        <v>1.3355544699917852</v>
      </c>
      <c r="I119" s="220">
        <v>7.6294527620030976</v>
      </c>
      <c r="J119" s="221">
        <f t="shared" si="17"/>
        <v>-0.21030338866095644</v>
      </c>
      <c r="K119" s="220">
        <v>7.7992768836015864</v>
      </c>
      <c r="L119" s="221">
        <f t="shared" ref="L119:L121" si="18">IFERROR(K119-I119,"-")</f>
        <v>0.16982412159848881</v>
      </c>
      <c r="M119" s="220">
        <v>8.2206811005863774</v>
      </c>
      <c r="N119" s="221">
        <f t="shared" ref="N119:N127" si="19">IFERROR(M119-K119,"-")</f>
        <v>0.42140421698479091</v>
      </c>
    </row>
    <row r="120" spans="1:15" x14ac:dyDescent="0.25">
      <c r="B120" s="145" t="s">
        <v>75</v>
      </c>
      <c r="C120" s="220">
        <v>9.1680054304785603</v>
      </c>
      <c r="D120" s="221">
        <v>1.1175489784677044</v>
      </c>
      <c r="E120" s="220">
        <v>4.0470588235294116</v>
      </c>
      <c r="F120" s="221">
        <f t="shared" si="17"/>
        <v>-5.1209466069491487</v>
      </c>
      <c r="G120" s="220">
        <v>7.1585677749360617</v>
      </c>
      <c r="H120" s="221">
        <f t="shared" si="17"/>
        <v>3.1115089514066501</v>
      </c>
      <c r="I120" s="220">
        <v>6.7291277985074629</v>
      </c>
      <c r="J120" s="221">
        <f t="shared" si="17"/>
        <v>-0.42943997642859877</v>
      </c>
      <c r="K120" s="220">
        <v>7.3254189944134076</v>
      </c>
      <c r="L120" s="221">
        <f t="shared" si="18"/>
        <v>0.5962911959059447</v>
      </c>
      <c r="M120" s="220">
        <v>7.6376719576719578</v>
      </c>
      <c r="N120" s="221">
        <f t="shared" si="19"/>
        <v>0.31225296325855023</v>
      </c>
    </row>
    <row r="121" spans="1:15" x14ac:dyDescent="0.25">
      <c r="B121" s="145" t="s">
        <v>77</v>
      </c>
      <c r="C121" s="220">
        <v>9.9803084223013041</v>
      </c>
      <c r="D121" s="221">
        <v>2.0719353964802965</v>
      </c>
      <c r="E121" s="220">
        <v>3.8153846153846156</v>
      </c>
      <c r="F121" s="221">
        <f t="shared" si="17"/>
        <v>-6.1649238069166881</v>
      </c>
      <c r="G121" s="220">
        <v>7.3829883497341928</v>
      </c>
      <c r="H121" s="221">
        <f t="shared" si="17"/>
        <v>3.5676037343495772</v>
      </c>
      <c r="I121" s="220">
        <v>6.494187655687794</v>
      </c>
      <c r="J121" s="221">
        <f t="shared" si="17"/>
        <v>-0.88880069404639883</v>
      </c>
      <c r="K121" s="220">
        <v>6.58644785600847</v>
      </c>
      <c r="L121" s="221">
        <f t="shared" si="18"/>
        <v>9.2260200320676056E-2</v>
      </c>
      <c r="M121" s="220">
        <v>7.1928329509450455</v>
      </c>
      <c r="N121" s="221">
        <f t="shared" si="19"/>
        <v>0.60638509493657544</v>
      </c>
    </row>
    <row r="122" spans="1:15" x14ac:dyDescent="0.25">
      <c r="B122" s="145" t="s">
        <v>79</v>
      </c>
      <c r="C122" s="220" t="s">
        <v>252</v>
      </c>
      <c r="D122" s="221" t="s">
        <v>252</v>
      </c>
      <c r="E122" s="220">
        <v>2.0697674418604652</v>
      </c>
      <c r="F122" s="221" t="str">
        <f>IFERROR(E122-C122,"-")</f>
        <v>-</v>
      </c>
      <c r="G122" s="220">
        <v>7.6654097815237883</v>
      </c>
      <c r="H122" s="221">
        <f>IFERROR(G122-E122,"-")</f>
        <v>5.595642339663323</v>
      </c>
      <c r="I122" s="220">
        <v>6.8568426950553301</v>
      </c>
      <c r="J122" s="221">
        <f>IFERROR(I122-G122,"-")</f>
        <v>-0.80856708646845821</v>
      </c>
      <c r="K122" s="220">
        <v>7.2563217110393223</v>
      </c>
      <c r="L122" s="221">
        <f>IFERROR(K122-I122,"-")</f>
        <v>0.39947901598399227</v>
      </c>
      <c r="M122" s="220">
        <v>7.4496042216358838</v>
      </c>
      <c r="N122" s="221">
        <f t="shared" si="19"/>
        <v>0.19328251059656143</v>
      </c>
    </row>
    <row r="123" spans="1:15" x14ac:dyDescent="0.25">
      <c r="B123" s="145" t="s">
        <v>81</v>
      </c>
      <c r="C123" s="220" t="s">
        <v>252</v>
      </c>
      <c r="D123" s="221" t="s">
        <v>252</v>
      </c>
      <c r="E123" s="220">
        <v>2.9821428571428572</v>
      </c>
      <c r="F123" s="221" t="str">
        <f t="shared" ref="F123:J131" si="20">IFERROR(E123-C123,"-")</f>
        <v>-</v>
      </c>
      <c r="G123" s="220">
        <v>7.2070941004388107</v>
      </c>
      <c r="H123" s="221">
        <f t="shared" si="20"/>
        <v>4.2249512432959531</v>
      </c>
      <c r="I123" s="220">
        <v>6.6725205448609701</v>
      </c>
      <c r="J123" s="221">
        <f t="shared" si="20"/>
        <v>-0.53457355557784059</v>
      </c>
      <c r="K123" s="220">
        <v>7.2387146878943796</v>
      </c>
      <c r="L123" s="221">
        <f t="shared" ref="L123:L131" si="21">IFERROR(K123-I123,"-")</f>
        <v>0.56619414303340942</v>
      </c>
      <c r="M123" s="220">
        <v>7.6742393092105265</v>
      </c>
      <c r="N123" s="221">
        <f t="shared" si="19"/>
        <v>0.435524621316147</v>
      </c>
    </row>
    <row r="124" spans="1:15" x14ac:dyDescent="0.25">
      <c r="B124" s="145" t="s">
        <v>83</v>
      </c>
      <c r="C124" s="220" t="s">
        <v>252</v>
      </c>
      <c r="D124" s="221" t="s">
        <v>252</v>
      </c>
      <c r="E124" s="220">
        <v>5.4222222222222225</v>
      </c>
      <c r="F124" s="221" t="str">
        <f t="shared" si="20"/>
        <v>-</v>
      </c>
      <c r="G124" s="220">
        <v>8.0422956616347072</v>
      </c>
      <c r="H124" s="221">
        <f t="shared" si="20"/>
        <v>2.6200734394124847</v>
      </c>
      <c r="I124" s="220">
        <v>7.1928683291169735</v>
      </c>
      <c r="J124" s="221">
        <f t="shared" si="20"/>
        <v>-0.84942733251773372</v>
      </c>
      <c r="K124" s="220">
        <v>7.4717546914296769</v>
      </c>
      <c r="L124" s="221">
        <f t="shared" si="21"/>
        <v>0.27888636231270336</v>
      </c>
      <c r="M124" s="220">
        <v>7.4459115805946796</v>
      </c>
      <c r="N124" s="221">
        <f t="shared" si="19"/>
        <v>-2.584311083499724E-2</v>
      </c>
    </row>
    <row r="125" spans="1:15" x14ac:dyDescent="0.25">
      <c r="B125" s="145" t="s">
        <v>85</v>
      </c>
      <c r="C125" s="220" t="s">
        <v>252</v>
      </c>
      <c r="D125" s="221" t="s">
        <v>252</v>
      </c>
      <c r="E125" s="220">
        <v>6.4112291350531105</v>
      </c>
      <c r="F125" s="221" t="str">
        <f t="shared" si="20"/>
        <v>-</v>
      </c>
      <c r="G125" s="220">
        <v>7.680676270984641</v>
      </c>
      <c r="H125" s="221">
        <f t="shared" si="20"/>
        <v>1.2694471359315305</v>
      </c>
      <c r="I125" s="220">
        <v>7.0888216261350587</v>
      </c>
      <c r="J125" s="221">
        <f t="shared" si="20"/>
        <v>-0.59185464484958228</v>
      </c>
      <c r="K125" s="220">
        <v>7.5208927342444207</v>
      </c>
      <c r="L125" s="221">
        <f t="shared" si="21"/>
        <v>0.432071108109362</v>
      </c>
      <c r="M125" s="220">
        <v>7.4017708909795239</v>
      </c>
      <c r="N125" s="221">
        <f t="shared" si="19"/>
        <v>-0.11912184326489683</v>
      </c>
    </row>
    <row r="126" spans="1:15" x14ac:dyDescent="0.25">
      <c r="B126" s="145" t="s">
        <v>87</v>
      </c>
      <c r="C126" s="220">
        <v>6.7682119205298017</v>
      </c>
      <c r="D126" s="221">
        <v>-1.9659930899502855</v>
      </c>
      <c r="E126" s="220">
        <v>5.0424137931034485</v>
      </c>
      <c r="F126" s="221">
        <f t="shared" si="20"/>
        <v>-1.7257981274263532</v>
      </c>
      <c r="G126" s="220">
        <v>8.3796070100902806</v>
      </c>
      <c r="H126" s="221">
        <f t="shared" si="20"/>
        <v>3.3371932169868321</v>
      </c>
      <c r="I126" s="220">
        <v>7.4306201550387598</v>
      </c>
      <c r="J126" s="221">
        <f t="shared" si="20"/>
        <v>-0.94898685505152081</v>
      </c>
      <c r="K126" s="220">
        <v>8.2123629112662009</v>
      </c>
      <c r="L126" s="221">
        <f t="shared" si="21"/>
        <v>0.78174275622744105</v>
      </c>
      <c r="M126" s="220">
        <v>8.1807273741977493</v>
      </c>
      <c r="N126" s="221">
        <f t="shared" si="19"/>
        <v>-3.1635537068451569E-2</v>
      </c>
    </row>
    <row r="127" spans="1:15" x14ac:dyDescent="0.25">
      <c r="B127" s="145" t="s">
        <v>89</v>
      </c>
      <c r="C127" s="220">
        <v>5.57085020242915</v>
      </c>
      <c r="D127" s="221">
        <v>-3.3044382147374405</v>
      </c>
      <c r="E127" s="220">
        <v>7.7452655031563316</v>
      </c>
      <c r="F127" s="221">
        <f t="shared" si="20"/>
        <v>2.1744153007271816</v>
      </c>
      <c r="G127" s="220">
        <v>7.5430274431888735</v>
      </c>
      <c r="H127" s="221">
        <f t="shared" si="20"/>
        <v>-0.20223805996745803</v>
      </c>
      <c r="I127" s="220">
        <v>7.533498492029298</v>
      </c>
      <c r="J127" s="221">
        <f t="shared" si="20"/>
        <v>-9.5289511595755272E-3</v>
      </c>
      <c r="K127" s="220">
        <v>7.5409499080385158</v>
      </c>
      <c r="L127" s="221">
        <f t="shared" si="21"/>
        <v>7.4514160092178372E-3</v>
      </c>
      <c r="M127" s="220">
        <v>7.8828231829178499</v>
      </c>
      <c r="N127" s="221">
        <f t="shared" si="19"/>
        <v>0.34187327487933405</v>
      </c>
    </row>
    <row r="128" spans="1:15" x14ac:dyDescent="0.25">
      <c r="A128" s="151"/>
      <c r="B128" s="145" t="s">
        <v>91</v>
      </c>
      <c r="C128" s="220">
        <v>3.9648609077598831</v>
      </c>
      <c r="D128" s="221">
        <v>-3.8540766429294928</v>
      </c>
      <c r="E128" s="220">
        <v>7.1007009011586328</v>
      </c>
      <c r="F128" s="221">
        <f t="shared" si="20"/>
        <v>3.1358399933987497</v>
      </c>
      <c r="G128" s="220">
        <v>7.8303074824220795</v>
      </c>
      <c r="H128" s="221">
        <f t="shared" si="20"/>
        <v>0.72960658126344669</v>
      </c>
      <c r="I128" s="220">
        <v>7.0412095510279338</v>
      </c>
      <c r="J128" s="221">
        <f t="shared" si="20"/>
        <v>-0.78909793139414575</v>
      </c>
      <c r="K128" s="220">
        <v>7.3660401115208201</v>
      </c>
      <c r="L128" s="221">
        <f t="shared" si="21"/>
        <v>0.32483056049288628</v>
      </c>
      <c r="M128" s="220"/>
      <c r="N128" s="221"/>
    </row>
    <row r="129" spans="2:15" x14ac:dyDescent="0.25">
      <c r="B129" s="145" t="s">
        <v>93</v>
      </c>
      <c r="C129" s="220">
        <v>7.705363703159442</v>
      </c>
      <c r="D129" s="221">
        <v>-0.38217105684539376</v>
      </c>
      <c r="E129" s="220">
        <v>7.5264134780125644</v>
      </c>
      <c r="F129" s="221">
        <f t="shared" si="20"/>
        <v>-0.17895022514687753</v>
      </c>
      <c r="G129" s="220">
        <v>7.7274300932090547</v>
      </c>
      <c r="H129" s="221">
        <f t="shared" si="20"/>
        <v>0.20101661519649028</v>
      </c>
      <c r="I129" s="220">
        <v>7.0028126352228472</v>
      </c>
      <c r="J129" s="221">
        <f t="shared" si="20"/>
        <v>-0.72461745798620747</v>
      </c>
      <c r="K129" s="220">
        <v>7.3525042444821729</v>
      </c>
      <c r="L129" s="221">
        <f t="shared" si="21"/>
        <v>0.34969160925932563</v>
      </c>
      <c r="M129" s="220"/>
      <c r="N129" s="221"/>
    </row>
    <row r="130" spans="2:15" x14ac:dyDescent="0.25">
      <c r="B130" s="145" t="s">
        <v>95</v>
      </c>
      <c r="C130" s="220">
        <v>7.0630990415335466</v>
      </c>
      <c r="D130" s="221">
        <v>-0.29745040901590425</v>
      </c>
      <c r="E130" s="220">
        <v>6.7358556056924677</v>
      </c>
      <c r="F130" s="221">
        <f t="shared" si="20"/>
        <v>-0.32724343584107896</v>
      </c>
      <c r="G130" s="220">
        <v>7.4731719187249057</v>
      </c>
      <c r="H130" s="221">
        <f t="shared" si="20"/>
        <v>0.73731631303243805</v>
      </c>
      <c r="I130" s="220">
        <v>6.727220366317245</v>
      </c>
      <c r="J130" s="221">
        <f t="shared" si="20"/>
        <v>-0.74595155240766076</v>
      </c>
      <c r="K130" s="220">
        <v>6.8791851771589556</v>
      </c>
      <c r="L130" s="221">
        <f t="shared" si="21"/>
        <v>0.15196481084171065</v>
      </c>
      <c r="M130" s="220"/>
      <c r="N130" s="221"/>
    </row>
    <row r="131" spans="2:15" ht="15.75" x14ac:dyDescent="0.25">
      <c r="B131" s="148" t="s">
        <v>32</v>
      </c>
      <c r="C131" s="222">
        <v>8.6881922354654506</v>
      </c>
      <c r="D131" s="223">
        <v>0.26016761897956364</v>
      </c>
      <c r="E131" s="222">
        <v>6.9136660747345751</v>
      </c>
      <c r="F131" s="223">
        <f t="shared" si="20"/>
        <v>-1.7745261607308755</v>
      </c>
      <c r="G131" s="222">
        <v>7.6641018205919513</v>
      </c>
      <c r="H131" s="223">
        <f t="shared" si="20"/>
        <v>0.75043574585737627</v>
      </c>
      <c r="I131" s="222">
        <v>7.0465085514504393</v>
      </c>
      <c r="J131" s="223">
        <f t="shared" si="20"/>
        <v>-0.61759326914151202</v>
      </c>
      <c r="K131" s="222">
        <v>7.3817870332905757</v>
      </c>
      <c r="L131" s="223">
        <f t="shared" si="21"/>
        <v>0.33527848184013642</v>
      </c>
      <c r="M131" s="222">
        <v>7.6754358053592124</v>
      </c>
      <c r="N131" s="223">
        <v>0.23473292182349503</v>
      </c>
    </row>
    <row r="132" spans="2:15" ht="6" customHeight="1" x14ac:dyDescent="0.25"/>
    <row r="133" spans="2:15" x14ac:dyDescent="0.25">
      <c r="B133" s="131" t="s">
        <v>57</v>
      </c>
      <c r="C133" s="131"/>
      <c r="D133" s="131"/>
      <c r="E133" s="131"/>
      <c r="F133" s="131"/>
      <c r="G133" s="131"/>
      <c r="H133" s="131"/>
      <c r="I133" s="131"/>
      <c r="J133" s="131"/>
      <c r="K133" s="131"/>
      <c r="L133" s="131"/>
      <c r="M133" s="131"/>
      <c r="N133" s="131"/>
    </row>
    <row r="134" spans="2:15" x14ac:dyDescent="0.25">
      <c r="K134" s="151"/>
      <c r="M134" s="151"/>
      <c r="N134" s="153"/>
    </row>
    <row r="136" spans="2:15" ht="48.75" customHeight="1" thickBot="1" x14ac:dyDescent="0.3">
      <c r="B136" s="12" t="s">
        <v>298</v>
      </c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" t="s">
        <v>113</v>
      </c>
    </row>
    <row r="137" spans="2:15" ht="10.5" customHeight="1" thickBot="1" x14ac:dyDescent="0.3">
      <c r="B137" s="132"/>
      <c r="C137" s="133"/>
      <c r="D137" s="132"/>
      <c r="E137" s="132"/>
      <c r="F137" s="132"/>
      <c r="G137" s="132"/>
      <c r="H137" s="132"/>
      <c r="I137" s="132"/>
      <c r="J137" s="132"/>
      <c r="K137" s="132"/>
      <c r="L137" s="132"/>
      <c r="M137" s="4"/>
      <c r="N137" s="4"/>
      <c r="O137" s="1" t="s">
        <v>114</v>
      </c>
    </row>
    <row r="138" spans="2:15" ht="22.5" thickTop="1" thickBot="1" x14ac:dyDescent="0.3">
      <c r="B138" s="152" t="str">
        <f>C138</f>
        <v>Alemania</v>
      </c>
      <c r="C138" s="135" t="s">
        <v>115</v>
      </c>
      <c r="D138" s="136"/>
      <c r="E138" s="136"/>
      <c r="F138" s="136"/>
      <c r="G138" s="136"/>
      <c r="H138" s="136"/>
      <c r="I138" s="136"/>
      <c r="J138" s="136"/>
      <c r="K138" s="136"/>
      <c r="L138" s="136"/>
      <c r="M138" s="136"/>
      <c r="N138" s="136"/>
    </row>
    <row r="139" spans="2:15" ht="22.5" thickTop="1" thickBot="1" x14ac:dyDescent="0.3">
      <c r="B139" s="137"/>
      <c r="C139" s="138">
        <v>2020</v>
      </c>
      <c r="D139" s="139"/>
      <c r="E139" s="140">
        <v>2021</v>
      </c>
      <c r="F139" s="139"/>
      <c r="G139" s="140">
        <v>2022</v>
      </c>
      <c r="H139" s="139"/>
      <c r="I139" s="140">
        <v>2023</v>
      </c>
      <c r="J139" s="139"/>
      <c r="K139" s="140">
        <v>2024</v>
      </c>
      <c r="L139" s="139"/>
      <c r="M139" s="140">
        <v>2025</v>
      </c>
      <c r="N139" s="141"/>
    </row>
    <row r="140" spans="2:15" ht="16.5" thickTop="1" thickBot="1" x14ac:dyDescent="0.3">
      <c r="B140" s="109"/>
      <c r="C140" s="142" t="s">
        <v>71</v>
      </c>
      <c r="D140" s="143" t="str">
        <f>CONCATENATE("dif ",RIGHT(C139,2),"/",RIGHT(C139-1,2))</f>
        <v>dif 20/19</v>
      </c>
      <c r="E140" s="144" t="s">
        <v>71</v>
      </c>
      <c r="F140" s="143" t="str">
        <f>CONCATENATE("dif ",RIGHT(E139,2),"/",RIGHT(C139,2))</f>
        <v>dif 21/20</v>
      </c>
      <c r="G140" s="144" t="s">
        <v>71</v>
      </c>
      <c r="H140" s="143" t="str">
        <f>CONCATENATE("dif ",RIGHT(G139,2),"/",RIGHT(E139,2))</f>
        <v>dif 22/21</v>
      </c>
      <c r="I140" s="144" t="s">
        <v>71</v>
      </c>
      <c r="J140" s="143" t="str">
        <f>CONCATENATE("dif ",RIGHT(I139,2),"/",RIGHT(G139,2))</f>
        <v>dif 23/22</v>
      </c>
      <c r="K140" s="144" t="s">
        <v>71</v>
      </c>
      <c r="L140" s="143" t="str">
        <f>CONCATENATE("dif ",RIGHT(K139,2),"/",RIGHT(I139,2))</f>
        <v>dif 24/23</v>
      </c>
      <c r="M140" s="144" t="s">
        <v>71</v>
      </c>
      <c r="N140" s="143" t="str">
        <f>CONCATENATE("dif ",RIGHT(M139,2),"/",RIGHT(K139,2))</f>
        <v>dif 25/24</v>
      </c>
    </row>
    <row r="141" spans="2:15" x14ac:dyDescent="0.25">
      <c r="B141" s="145" t="s">
        <v>73</v>
      </c>
      <c r="C141" s="220">
        <v>6.9177173191771733</v>
      </c>
      <c r="D141" s="221">
        <v>-1.7796964739262755</v>
      </c>
      <c r="E141" s="220">
        <v>7.5774058577405858</v>
      </c>
      <c r="F141" s="221">
        <f t="shared" ref="F141:J143" si="22">IFERROR(E141-C141,"-")</f>
        <v>0.65968853856341259</v>
      </c>
      <c r="G141" s="220">
        <v>9.500934579439253</v>
      </c>
      <c r="H141" s="221">
        <f t="shared" si="22"/>
        <v>1.9235287216986672</v>
      </c>
      <c r="I141" s="220">
        <v>8.3240911891558849</v>
      </c>
      <c r="J141" s="221">
        <f t="shared" si="22"/>
        <v>-1.1768433902833682</v>
      </c>
      <c r="K141" s="220">
        <v>9.6112149532710287</v>
      </c>
      <c r="L141" s="221">
        <f t="shared" ref="L141:L143" si="23">IFERROR(K141-I141,"-")</f>
        <v>1.2871237641151438</v>
      </c>
      <c r="M141" s="220">
        <v>8.2321326472269867</v>
      </c>
      <c r="N141" s="221">
        <f t="shared" ref="N141:N149" si="24">IFERROR(M141-K141,"-")</f>
        <v>-1.379082306044042</v>
      </c>
    </row>
    <row r="142" spans="2:15" x14ac:dyDescent="0.25">
      <c r="B142" s="145" t="s">
        <v>75</v>
      </c>
      <c r="C142" s="220">
        <v>7.3316831683168315</v>
      </c>
      <c r="D142" s="221">
        <v>-1.0215047511462556</v>
      </c>
      <c r="E142" s="220">
        <v>7.015625</v>
      </c>
      <c r="F142" s="221">
        <f t="shared" si="22"/>
        <v>-0.31605816831683153</v>
      </c>
      <c r="G142" s="220">
        <v>7.2494226327944569</v>
      </c>
      <c r="H142" s="221">
        <f t="shared" si="22"/>
        <v>0.23379763279445687</v>
      </c>
      <c r="I142" s="220">
        <v>7.9921135646687693</v>
      </c>
      <c r="J142" s="221">
        <f t="shared" si="22"/>
        <v>0.74269093187431245</v>
      </c>
      <c r="K142" s="220">
        <v>9.1799802761341223</v>
      </c>
      <c r="L142" s="221">
        <f t="shared" si="23"/>
        <v>1.1878667114653529</v>
      </c>
      <c r="M142" s="220">
        <v>8.9388221841052022</v>
      </c>
      <c r="N142" s="221">
        <f t="shared" si="24"/>
        <v>-0.24115809202892002</v>
      </c>
    </row>
    <row r="143" spans="2:15" x14ac:dyDescent="0.25">
      <c r="B143" s="145" t="s">
        <v>77</v>
      </c>
      <c r="C143" s="220">
        <v>10.029032258064516</v>
      </c>
      <c r="D143" s="221">
        <v>2.0616080156402736</v>
      </c>
      <c r="E143" s="220">
        <v>7.231012658227848</v>
      </c>
      <c r="F143" s="221">
        <f t="shared" si="22"/>
        <v>-2.7980195998366684</v>
      </c>
      <c r="G143" s="220">
        <v>7.4262717321313589</v>
      </c>
      <c r="H143" s="221">
        <f t="shared" si="22"/>
        <v>0.19525907390351094</v>
      </c>
      <c r="I143" s="220">
        <v>8.19392523364486</v>
      </c>
      <c r="J143" s="221">
        <f t="shared" si="22"/>
        <v>0.76765350151350109</v>
      </c>
      <c r="K143" s="220">
        <v>7.9189031505250878</v>
      </c>
      <c r="L143" s="221">
        <f t="shared" si="23"/>
        <v>-0.27502208311977228</v>
      </c>
      <c r="M143" s="220">
        <v>8.2895294616362865</v>
      </c>
      <c r="N143" s="221">
        <f t="shared" si="24"/>
        <v>0.3706263111111987</v>
      </c>
    </row>
    <row r="144" spans="2:15" x14ac:dyDescent="0.25">
      <c r="B144" s="145" t="s">
        <v>79</v>
      </c>
      <c r="C144" s="220" t="s">
        <v>252</v>
      </c>
      <c r="D144" s="221" t="s">
        <v>252</v>
      </c>
      <c r="E144" s="220">
        <v>7.3420074349442377</v>
      </c>
      <c r="F144" s="221" t="str">
        <f>IFERROR(E144-C144,"-")</f>
        <v>-</v>
      </c>
      <c r="G144" s="220">
        <v>7.5292955892034232</v>
      </c>
      <c r="H144" s="221">
        <f>IFERROR(G144-E144,"-")</f>
        <v>0.18728815425918555</v>
      </c>
      <c r="I144" s="220">
        <v>7.7774952320406863</v>
      </c>
      <c r="J144" s="221">
        <f>IFERROR(I144-G144,"-")</f>
        <v>0.24819964283726303</v>
      </c>
      <c r="K144" s="220">
        <v>9.9245283018867916</v>
      </c>
      <c r="L144" s="221">
        <f>IFERROR(K144-I144,"-")</f>
        <v>2.1470330698461053</v>
      </c>
      <c r="M144" s="220">
        <v>7.8938468764678253</v>
      </c>
      <c r="N144" s="221">
        <f t="shared" si="24"/>
        <v>-2.0306814254189662</v>
      </c>
    </row>
    <row r="145" spans="1:15" x14ac:dyDescent="0.25">
      <c r="B145" s="145" t="s">
        <v>81</v>
      </c>
      <c r="C145" s="220" t="s">
        <v>252</v>
      </c>
      <c r="D145" s="221" t="s">
        <v>252</v>
      </c>
      <c r="E145" s="220">
        <v>6.5496183206106871</v>
      </c>
      <c r="F145" s="221" t="str">
        <f t="shared" ref="F145:J153" si="25">IFERROR(E145-C145,"-")</f>
        <v>-</v>
      </c>
      <c r="G145" s="220">
        <v>7.7900113507377977</v>
      </c>
      <c r="H145" s="221">
        <f t="shared" si="25"/>
        <v>1.2403930301271107</v>
      </c>
      <c r="I145" s="220">
        <v>7.8512089274643522</v>
      </c>
      <c r="J145" s="221">
        <f t="shared" si="25"/>
        <v>6.1197576726554459E-2</v>
      </c>
      <c r="K145" s="220">
        <v>9.1011302795954787</v>
      </c>
      <c r="L145" s="221">
        <f t="shared" ref="L145:L153" si="26">IFERROR(K145-I145,"-")</f>
        <v>1.2499213521311265</v>
      </c>
      <c r="M145" s="220">
        <v>12.54282267792521</v>
      </c>
      <c r="N145" s="221">
        <f t="shared" si="24"/>
        <v>3.4416923983297316</v>
      </c>
    </row>
    <row r="146" spans="1:15" x14ac:dyDescent="0.25">
      <c r="B146" s="145" t="s">
        <v>83</v>
      </c>
      <c r="C146" s="220" t="s">
        <v>252</v>
      </c>
      <c r="D146" s="221" t="s">
        <v>252</v>
      </c>
      <c r="E146" s="220">
        <v>7.9567099567099566</v>
      </c>
      <c r="F146" s="221" t="str">
        <f t="shared" si="25"/>
        <v>-</v>
      </c>
      <c r="G146" s="220">
        <v>7.3679031037093115</v>
      </c>
      <c r="H146" s="221">
        <f t="shared" si="25"/>
        <v>-0.58880685300064517</v>
      </c>
      <c r="I146" s="220">
        <v>10.041487839771101</v>
      </c>
      <c r="J146" s="221">
        <f t="shared" si="25"/>
        <v>2.6735847360617893</v>
      </c>
      <c r="K146" s="220">
        <v>8.6592379583033789</v>
      </c>
      <c r="L146" s="221">
        <f t="shared" si="26"/>
        <v>-1.3822498814677218</v>
      </c>
      <c r="M146" s="220">
        <v>9.0062460961898818</v>
      </c>
      <c r="N146" s="221">
        <f t="shared" si="24"/>
        <v>0.34700813788650287</v>
      </c>
    </row>
    <row r="147" spans="1:15" x14ac:dyDescent="0.25">
      <c r="B147" s="145" t="s">
        <v>85</v>
      </c>
      <c r="C147" s="220" t="s">
        <v>252</v>
      </c>
      <c r="D147" s="221" t="s">
        <v>252</v>
      </c>
      <c r="E147" s="220">
        <v>7.3955555555555552</v>
      </c>
      <c r="F147" s="221" t="str">
        <f t="shared" si="25"/>
        <v>-</v>
      </c>
      <c r="G147" s="220">
        <v>8.3393177737881512</v>
      </c>
      <c r="H147" s="221">
        <f t="shared" si="25"/>
        <v>0.94376221823259598</v>
      </c>
      <c r="I147" s="220">
        <v>9.5324041811846687</v>
      </c>
      <c r="J147" s="221">
        <f t="shared" si="25"/>
        <v>1.1930864073965175</v>
      </c>
      <c r="K147" s="220">
        <v>9.7504288164665525</v>
      </c>
      <c r="L147" s="221">
        <f t="shared" si="26"/>
        <v>0.21802463528188376</v>
      </c>
      <c r="M147" s="220">
        <v>9.8148606811145509</v>
      </c>
      <c r="N147" s="221">
        <f t="shared" si="24"/>
        <v>6.4431864647998438E-2</v>
      </c>
    </row>
    <row r="148" spans="1:15" x14ac:dyDescent="0.25">
      <c r="B148" s="145" t="s">
        <v>87</v>
      </c>
      <c r="C148" s="220">
        <v>7.3946784922394677</v>
      </c>
      <c r="D148" s="221">
        <v>-0.82032608232594839</v>
      </c>
      <c r="E148" s="220">
        <v>6.5977900552486188</v>
      </c>
      <c r="F148" s="221">
        <f t="shared" si="25"/>
        <v>-0.79688843699084888</v>
      </c>
      <c r="G148" s="220">
        <v>9.4428857715430858</v>
      </c>
      <c r="H148" s="221">
        <f t="shared" si="25"/>
        <v>2.845095716294467</v>
      </c>
      <c r="I148" s="220">
        <v>9.9661354581673312</v>
      </c>
      <c r="J148" s="221">
        <f t="shared" si="25"/>
        <v>0.52324968662424531</v>
      </c>
      <c r="K148" s="220">
        <v>9.4147727272727266</v>
      </c>
      <c r="L148" s="221">
        <f t="shared" si="26"/>
        <v>-0.55136273089460452</v>
      </c>
      <c r="M148" s="220">
        <v>9.781685467816855</v>
      </c>
      <c r="N148" s="221">
        <f t="shared" si="24"/>
        <v>0.36691274054412837</v>
      </c>
    </row>
    <row r="149" spans="1:15" x14ac:dyDescent="0.25">
      <c r="B149" s="145" t="s">
        <v>89</v>
      </c>
      <c r="C149" s="220">
        <v>17.828947368421051</v>
      </c>
      <c r="D149" s="221">
        <v>10.929646669120352</v>
      </c>
      <c r="E149" s="220">
        <v>7.3301088270858523</v>
      </c>
      <c r="F149" s="221">
        <f t="shared" si="25"/>
        <v>-10.4988385413352</v>
      </c>
      <c r="G149" s="220">
        <v>9.1776504297994261</v>
      </c>
      <c r="H149" s="221">
        <f t="shared" si="25"/>
        <v>1.8475416027135738</v>
      </c>
      <c r="I149" s="220">
        <v>8.6907849829351544</v>
      </c>
      <c r="J149" s="221">
        <f t="shared" si="25"/>
        <v>-0.48686544686427169</v>
      </c>
      <c r="K149" s="220">
        <v>9.2540394973070015</v>
      </c>
      <c r="L149" s="221">
        <f t="shared" si="26"/>
        <v>0.56325451437184704</v>
      </c>
      <c r="M149" s="220">
        <v>9.7643636363636368</v>
      </c>
      <c r="N149" s="221">
        <f t="shared" si="24"/>
        <v>0.51032413905663532</v>
      </c>
    </row>
    <row r="150" spans="1:15" x14ac:dyDescent="0.25">
      <c r="A150" s="151"/>
      <c r="B150" s="145" t="s">
        <v>91</v>
      </c>
      <c r="C150" s="220">
        <v>4.7731958762886597</v>
      </c>
      <c r="D150" s="221">
        <v>-3.0567081017634665</v>
      </c>
      <c r="E150" s="220">
        <v>6.9228694714131604</v>
      </c>
      <c r="F150" s="221">
        <f t="shared" si="25"/>
        <v>2.1496735951245007</v>
      </c>
      <c r="G150" s="220">
        <v>7.3299583085169742</v>
      </c>
      <c r="H150" s="221">
        <f t="shared" si="25"/>
        <v>0.40708883710381372</v>
      </c>
      <c r="I150" s="220">
        <v>9.565085771947528</v>
      </c>
      <c r="J150" s="221">
        <f t="shared" si="25"/>
        <v>2.2351274634305538</v>
      </c>
      <c r="K150" s="220">
        <v>8.8236196319018401</v>
      </c>
      <c r="L150" s="221">
        <f t="shared" si="26"/>
        <v>-0.74146614004568789</v>
      </c>
      <c r="M150" s="220"/>
      <c r="N150" s="221"/>
    </row>
    <row r="151" spans="1:15" x14ac:dyDescent="0.25">
      <c r="B151" s="145" t="s">
        <v>93</v>
      </c>
      <c r="C151" s="220">
        <v>7.6947194719471943</v>
      </c>
      <c r="D151" s="221">
        <v>0.59578899066377211</v>
      </c>
      <c r="E151" s="220">
        <v>7.9698209718670077</v>
      </c>
      <c r="F151" s="221">
        <f t="shared" si="25"/>
        <v>0.27510149991981336</v>
      </c>
      <c r="G151" s="220">
        <v>7.955390334572491</v>
      </c>
      <c r="H151" s="221">
        <f t="shared" si="25"/>
        <v>-1.4430637294516657E-2</v>
      </c>
      <c r="I151" s="220">
        <v>8.4321148825065269</v>
      </c>
      <c r="J151" s="221">
        <f t="shared" si="25"/>
        <v>0.47672454793403585</v>
      </c>
      <c r="K151" s="220">
        <v>8.2161835748792278</v>
      </c>
      <c r="L151" s="221">
        <f t="shared" si="26"/>
        <v>-0.21593130762729906</v>
      </c>
      <c r="M151" s="220"/>
      <c r="N151" s="221"/>
    </row>
    <row r="152" spans="1:15" x14ac:dyDescent="0.25">
      <c r="B152" s="145" t="s">
        <v>95</v>
      </c>
      <c r="C152" s="220">
        <v>7.9045454545454543</v>
      </c>
      <c r="D152" s="221">
        <v>0.21922568710359425</v>
      </c>
      <c r="E152" s="220">
        <v>8.2085187539732996</v>
      </c>
      <c r="F152" s="221">
        <f t="shared" si="25"/>
        <v>0.30397329942784523</v>
      </c>
      <c r="G152" s="220">
        <v>7.965578635014837</v>
      </c>
      <c r="H152" s="221">
        <f t="shared" si="25"/>
        <v>-0.24294011895846257</v>
      </c>
      <c r="I152" s="220">
        <v>8.8064864864864862</v>
      </c>
      <c r="J152" s="221">
        <f t="shared" si="25"/>
        <v>0.84090785147164926</v>
      </c>
      <c r="K152" s="220">
        <v>8.446748878923767</v>
      </c>
      <c r="L152" s="221">
        <f t="shared" si="26"/>
        <v>-0.35973760756271922</v>
      </c>
      <c r="M152" s="220"/>
      <c r="N152" s="221"/>
    </row>
    <row r="153" spans="1:15" ht="15.75" x14ac:dyDescent="0.25">
      <c r="B153" s="148" t="s">
        <v>32</v>
      </c>
      <c r="C153" s="222">
        <v>7.5590863952333667</v>
      </c>
      <c r="D153" s="223">
        <v>2.1088647933293458E-2</v>
      </c>
      <c r="E153" s="222">
        <v>7.4559044955904499</v>
      </c>
      <c r="F153" s="223">
        <f t="shared" si="25"/>
        <v>-0.1031818996429168</v>
      </c>
      <c r="G153" s="222">
        <v>7.9858322782902276</v>
      </c>
      <c r="H153" s="223">
        <f t="shared" si="25"/>
        <v>0.52992778269977769</v>
      </c>
      <c r="I153" s="222">
        <v>8.7192205917729133</v>
      </c>
      <c r="J153" s="223">
        <f t="shared" si="25"/>
        <v>0.73338831348268574</v>
      </c>
      <c r="K153" s="222">
        <v>8.8693322149214779</v>
      </c>
      <c r="L153" s="223">
        <f t="shared" si="26"/>
        <v>0.15011162314856463</v>
      </c>
      <c r="M153" s="222">
        <v>9.0677932005632673</v>
      </c>
      <c r="N153" s="223">
        <v>3.6614992489752751E-2</v>
      </c>
    </row>
    <row r="154" spans="1:15" ht="6" customHeight="1" x14ac:dyDescent="0.25"/>
    <row r="155" spans="1:15" x14ac:dyDescent="0.25">
      <c r="B155" s="131" t="s">
        <v>57</v>
      </c>
      <c r="C155" s="131"/>
      <c r="D155" s="131"/>
      <c r="E155" s="131"/>
      <c r="F155" s="131"/>
      <c r="G155" s="131"/>
      <c r="H155" s="131"/>
      <c r="I155" s="131"/>
      <c r="J155" s="131"/>
      <c r="K155" s="131"/>
      <c r="L155" s="131"/>
      <c r="M155" s="131"/>
      <c r="N155" s="131"/>
    </row>
    <row r="156" spans="1:15" x14ac:dyDescent="0.25">
      <c r="K156" s="151"/>
      <c r="N156" s="154"/>
    </row>
    <row r="158" spans="1:15" ht="48.75" customHeight="1" thickBot="1" x14ac:dyDescent="0.3">
      <c r="B158" s="12" t="s">
        <v>299</v>
      </c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" t="s">
        <v>116</v>
      </c>
    </row>
    <row r="159" spans="1:15" ht="10.5" customHeight="1" thickBot="1" x14ac:dyDescent="0.3">
      <c r="B159" s="132"/>
      <c r="C159" s="133"/>
      <c r="D159" s="132"/>
      <c r="E159" s="132"/>
      <c r="F159" s="132"/>
      <c r="G159" s="132"/>
      <c r="H159" s="132"/>
      <c r="I159" s="132"/>
      <c r="J159" s="132"/>
      <c r="K159" s="132"/>
      <c r="L159" s="132"/>
      <c r="M159" s="4"/>
      <c r="N159" s="4"/>
      <c r="O159" s="1" t="s">
        <v>117</v>
      </c>
    </row>
    <row r="160" spans="1:15" ht="22.5" thickTop="1" thickBot="1" x14ac:dyDescent="0.3">
      <c r="B160" s="152" t="str">
        <f>C160</f>
        <v>Francia</v>
      </c>
      <c r="C160" s="135" t="s">
        <v>118</v>
      </c>
      <c r="D160" s="136"/>
      <c r="E160" s="136"/>
      <c r="F160" s="136"/>
      <c r="G160" s="136"/>
      <c r="H160" s="136"/>
      <c r="I160" s="136"/>
      <c r="J160" s="136"/>
      <c r="K160" s="136"/>
      <c r="L160" s="136"/>
      <c r="M160" s="136"/>
      <c r="N160" s="136"/>
    </row>
    <row r="161" spans="2:14" ht="22.5" thickTop="1" thickBot="1" x14ac:dyDescent="0.3">
      <c r="B161" s="137"/>
      <c r="C161" s="138">
        <v>2020</v>
      </c>
      <c r="D161" s="139"/>
      <c r="E161" s="140">
        <v>2021</v>
      </c>
      <c r="F161" s="139"/>
      <c r="G161" s="140">
        <v>2022</v>
      </c>
      <c r="H161" s="139"/>
      <c r="I161" s="140">
        <v>2023</v>
      </c>
      <c r="J161" s="139"/>
      <c r="K161" s="140">
        <v>2024</v>
      </c>
      <c r="L161" s="139"/>
      <c r="M161" s="140">
        <v>2025</v>
      </c>
      <c r="N161" s="141"/>
    </row>
    <row r="162" spans="2:14" ht="16.5" thickTop="1" thickBot="1" x14ac:dyDescent="0.3">
      <c r="B162" s="109"/>
      <c r="C162" s="142" t="s">
        <v>71</v>
      </c>
      <c r="D162" s="143" t="str">
        <f>CONCATENATE("dif ",RIGHT(C161,2),"/",RIGHT(C161-1,2))</f>
        <v>dif 20/19</v>
      </c>
      <c r="E162" s="144" t="s">
        <v>71</v>
      </c>
      <c r="F162" s="143" t="str">
        <f>CONCATENATE("dif ",RIGHT(E161,2),"/",RIGHT(C161,2))</f>
        <v>dif 21/20</v>
      </c>
      <c r="G162" s="144" t="s">
        <v>71</v>
      </c>
      <c r="H162" s="143" t="str">
        <f>CONCATENATE("dif ",RIGHT(G161,2),"/",RIGHT(E161,2))</f>
        <v>dif 22/21</v>
      </c>
      <c r="I162" s="144" t="s">
        <v>71</v>
      </c>
      <c r="J162" s="143" t="str">
        <f>CONCATENATE("dif ",RIGHT(I161,2),"/",RIGHT(G161,2))</f>
        <v>dif 23/22</v>
      </c>
      <c r="K162" s="144" t="s">
        <v>71</v>
      </c>
      <c r="L162" s="143" t="str">
        <f>CONCATENATE("dif ",RIGHT(K161,2),"/",RIGHT(I161,2))</f>
        <v>dif 24/23</v>
      </c>
      <c r="M162" s="144" t="s">
        <v>71</v>
      </c>
      <c r="N162" s="143" t="str">
        <f>CONCATENATE("dif ",RIGHT(M161,2),"/",RIGHT(K161,2))</f>
        <v>dif 25/24</v>
      </c>
    </row>
    <row r="163" spans="2:14" x14ac:dyDescent="0.25">
      <c r="B163" s="145" t="s">
        <v>73</v>
      </c>
      <c r="C163" s="220">
        <v>5.5201984408221119</v>
      </c>
      <c r="D163" s="221">
        <v>-2.2250845780458128</v>
      </c>
      <c r="E163" s="220">
        <v>5.8173913043478258</v>
      </c>
      <c r="F163" s="221">
        <f t="shared" ref="F163:J165" si="27">IFERROR(E163-C163,"-")</f>
        <v>0.29719286352571395</v>
      </c>
      <c r="G163" s="220">
        <v>6.5277161862527713</v>
      </c>
      <c r="H163" s="221">
        <f t="shared" si="27"/>
        <v>0.71032488190494547</v>
      </c>
      <c r="I163" s="220">
        <v>6.7374773687386842</v>
      </c>
      <c r="J163" s="221">
        <f t="shared" si="27"/>
        <v>0.20976118248591291</v>
      </c>
      <c r="K163" s="220">
        <v>8.1598639455782305</v>
      </c>
      <c r="L163" s="221">
        <f t="shared" ref="L163:L165" si="28">IFERROR(K163-I163,"-")</f>
        <v>1.4223865768395463</v>
      </c>
      <c r="M163" s="220">
        <v>7.2264875239923221</v>
      </c>
      <c r="N163" s="221">
        <f t="shared" ref="N163:N171" si="29">IFERROR(M163-K163,"-")</f>
        <v>-0.93337642158590839</v>
      </c>
    </row>
    <row r="164" spans="2:14" x14ac:dyDescent="0.25">
      <c r="B164" s="145" t="s">
        <v>75</v>
      </c>
      <c r="C164" s="220">
        <v>6.3634615384615385</v>
      </c>
      <c r="D164" s="221">
        <v>-9.5949165086266497E-2</v>
      </c>
      <c r="E164" s="220">
        <v>4.5502645502645507</v>
      </c>
      <c r="F164" s="221">
        <f t="shared" si="27"/>
        <v>-1.8131969881969878</v>
      </c>
      <c r="G164" s="220">
        <v>5.8839531680440773</v>
      </c>
      <c r="H164" s="221">
        <f t="shared" si="27"/>
        <v>1.3336886177795266</v>
      </c>
      <c r="I164" s="220">
        <v>6.2614051094890515</v>
      </c>
      <c r="J164" s="221">
        <f t="shared" si="27"/>
        <v>0.37745194144497418</v>
      </c>
      <c r="K164" s="220">
        <v>6.1108410306271272</v>
      </c>
      <c r="L164" s="221">
        <f t="shared" si="28"/>
        <v>-0.15056407886192424</v>
      </c>
      <c r="M164" s="220">
        <v>6.3094629156010233</v>
      </c>
      <c r="N164" s="221">
        <f t="shared" si="29"/>
        <v>0.1986218849738961</v>
      </c>
    </row>
    <row r="165" spans="2:14" x14ac:dyDescent="0.25">
      <c r="B165" s="145" t="s">
        <v>77</v>
      </c>
      <c r="C165" s="220">
        <v>8.701013513513514</v>
      </c>
      <c r="D165" s="221">
        <v>2.8607482935014588</v>
      </c>
      <c r="E165" s="220">
        <v>6.5810439560439562</v>
      </c>
      <c r="F165" s="221">
        <f t="shared" si="27"/>
        <v>-2.1199695574695578</v>
      </c>
      <c r="G165" s="220">
        <v>6.0988160291438982</v>
      </c>
      <c r="H165" s="221">
        <f t="shared" si="27"/>
        <v>-0.482227926900058</v>
      </c>
      <c r="I165" s="220">
        <v>6.9642857142857144</v>
      </c>
      <c r="J165" s="221">
        <f t="shared" si="27"/>
        <v>0.86546968514181621</v>
      </c>
      <c r="K165" s="220">
        <v>7.023180154534364</v>
      </c>
      <c r="L165" s="221">
        <f t="shared" si="28"/>
        <v>5.8894440248649538E-2</v>
      </c>
      <c r="M165" s="220">
        <v>6.5350000000000001</v>
      </c>
      <c r="N165" s="221">
        <f t="shared" si="29"/>
        <v>-0.48818015453436381</v>
      </c>
    </row>
    <row r="166" spans="2:14" x14ac:dyDescent="0.25">
      <c r="B166" s="145" t="s">
        <v>79</v>
      </c>
      <c r="C166" s="220" t="s">
        <v>252</v>
      </c>
      <c r="D166" s="221" t="s">
        <v>252</v>
      </c>
      <c r="E166" s="220">
        <v>4.0613107822410148</v>
      </c>
      <c r="F166" s="221" t="str">
        <f>IFERROR(E166-C166,"-")</f>
        <v>-</v>
      </c>
      <c r="G166" s="220">
        <v>5.4952218430034128</v>
      </c>
      <c r="H166" s="221">
        <f>IFERROR(G166-E166,"-")</f>
        <v>1.4339110607623979</v>
      </c>
      <c r="I166" s="220">
        <v>5.9081426648721402</v>
      </c>
      <c r="J166" s="221">
        <f>IFERROR(I166-G166,"-")</f>
        <v>0.41292082186872747</v>
      </c>
      <c r="K166" s="220">
        <v>5.9860979462875195</v>
      </c>
      <c r="L166" s="221">
        <f>IFERROR(K166-I166,"-")</f>
        <v>7.7955281415379218E-2</v>
      </c>
      <c r="M166" s="220">
        <v>6.1740909090909089</v>
      </c>
      <c r="N166" s="221">
        <f t="shared" si="29"/>
        <v>0.1879929628033894</v>
      </c>
    </row>
    <row r="167" spans="2:14" x14ac:dyDescent="0.25">
      <c r="B167" s="145" t="s">
        <v>81</v>
      </c>
      <c r="C167" s="220" t="s">
        <v>252</v>
      </c>
      <c r="D167" s="221" t="s">
        <v>252</v>
      </c>
      <c r="E167" s="220">
        <v>4.3159065628476085</v>
      </c>
      <c r="F167" s="221" t="str">
        <f t="shared" ref="F167:J175" si="30">IFERROR(E167-C167,"-")</f>
        <v>-</v>
      </c>
      <c r="G167" s="220">
        <v>6.2125546285260231</v>
      </c>
      <c r="H167" s="221">
        <f t="shared" si="30"/>
        <v>1.8966480656784146</v>
      </c>
      <c r="I167" s="220">
        <v>6.3199523052464226</v>
      </c>
      <c r="J167" s="221">
        <f t="shared" si="30"/>
        <v>0.10739767672039946</v>
      </c>
      <c r="K167" s="220">
        <v>7.0540976988292288</v>
      </c>
      <c r="L167" s="221">
        <f t="shared" ref="L167:L175" si="31">IFERROR(K167-I167,"-")</f>
        <v>0.73414539358280617</v>
      </c>
      <c r="M167" s="220">
        <v>7.4310954063604244</v>
      </c>
      <c r="N167" s="221">
        <f t="shared" si="29"/>
        <v>0.37699770753119566</v>
      </c>
    </row>
    <row r="168" spans="2:14" x14ac:dyDescent="0.25">
      <c r="B168" s="145" t="s">
        <v>83</v>
      </c>
      <c r="C168" s="220" t="s">
        <v>252</v>
      </c>
      <c r="D168" s="221" t="s">
        <v>252</v>
      </c>
      <c r="E168" s="220">
        <v>5.9469496021220163</v>
      </c>
      <c r="F168" s="221" t="str">
        <f t="shared" si="30"/>
        <v>-</v>
      </c>
      <c r="G168" s="220">
        <v>6.8347826086956518</v>
      </c>
      <c r="H168" s="221">
        <f t="shared" si="30"/>
        <v>0.88783300657363551</v>
      </c>
      <c r="I168" s="220">
        <v>6.4923076923076923</v>
      </c>
      <c r="J168" s="221">
        <f t="shared" si="30"/>
        <v>-0.34247491638795946</v>
      </c>
      <c r="K168" s="220">
        <v>6.846736596736597</v>
      </c>
      <c r="L168" s="221">
        <f t="shared" si="31"/>
        <v>0.35442890442890462</v>
      </c>
      <c r="M168" s="220">
        <v>7.2542975696502667</v>
      </c>
      <c r="N168" s="221">
        <f t="shared" si="29"/>
        <v>0.40756097291366977</v>
      </c>
    </row>
    <row r="169" spans="2:14" x14ac:dyDescent="0.25">
      <c r="B169" s="145" t="s">
        <v>85</v>
      </c>
      <c r="C169" s="220" t="s">
        <v>252</v>
      </c>
      <c r="D169" s="221" t="s">
        <v>252</v>
      </c>
      <c r="E169" s="220">
        <v>6.3998250218722657</v>
      </c>
      <c r="F169" s="221" t="str">
        <f t="shared" si="30"/>
        <v>-</v>
      </c>
      <c r="G169" s="220">
        <v>5.7849790316431564</v>
      </c>
      <c r="H169" s="221">
        <f t="shared" si="30"/>
        <v>-0.61484599022910924</v>
      </c>
      <c r="I169" s="220">
        <v>6.7623158963941083</v>
      </c>
      <c r="J169" s="221">
        <f t="shared" si="30"/>
        <v>0.97733686475095194</v>
      </c>
      <c r="K169" s="220">
        <v>7.4846723044397461</v>
      </c>
      <c r="L169" s="221">
        <f t="shared" si="31"/>
        <v>0.72235640804563772</v>
      </c>
      <c r="M169" s="220">
        <v>7.0748587570621471</v>
      </c>
      <c r="N169" s="221">
        <f t="shared" si="29"/>
        <v>-0.40981354737759901</v>
      </c>
    </row>
    <row r="170" spans="2:14" x14ac:dyDescent="0.25">
      <c r="B170" s="145" t="s">
        <v>87</v>
      </c>
      <c r="C170" s="220">
        <v>7.6909920182440139</v>
      </c>
      <c r="D170" s="221">
        <v>-0.74127586607866469</v>
      </c>
      <c r="E170" s="220">
        <v>7.0756446991404012</v>
      </c>
      <c r="F170" s="221">
        <f t="shared" si="30"/>
        <v>-0.61534731910361273</v>
      </c>
      <c r="G170" s="220">
        <v>7.3377939983779399</v>
      </c>
      <c r="H170" s="221">
        <f t="shared" si="30"/>
        <v>0.26214929923753871</v>
      </c>
      <c r="I170" s="220">
        <v>7.2864745011086471</v>
      </c>
      <c r="J170" s="221">
        <f t="shared" si="30"/>
        <v>-5.1319497269292746E-2</v>
      </c>
      <c r="K170" s="220">
        <v>7.9534117647058826</v>
      </c>
      <c r="L170" s="221">
        <f t="shared" si="31"/>
        <v>0.66693726359723549</v>
      </c>
      <c r="M170" s="220">
        <v>8.1352278294953457</v>
      </c>
      <c r="N170" s="221">
        <f t="shared" si="29"/>
        <v>0.18181606478946311</v>
      </c>
    </row>
    <row r="171" spans="2:14" x14ac:dyDescent="0.25">
      <c r="B171" s="145" t="s">
        <v>89</v>
      </c>
      <c r="C171" s="220">
        <v>7.98828125</v>
      </c>
      <c r="D171" s="221">
        <v>0.92879678205551919</v>
      </c>
      <c r="E171" s="220">
        <v>7.2506329113924046</v>
      </c>
      <c r="F171" s="221">
        <f t="shared" si="30"/>
        <v>-0.73764833860759538</v>
      </c>
      <c r="G171" s="220">
        <v>7.0207190737355267</v>
      </c>
      <c r="H171" s="221">
        <f t="shared" si="30"/>
        <v>-0.2299138376568779</v>
      </c>
      <c r="I171" s="220">
        <v>6.5264691597863038</v>
      </c>
      <c r="J171" s="221">
        <f t="shared" si="30"/>
        <v>-0.49424991394922291</v>
      </c>
      <c r="K171" s="220">
        <v>6.5689448441247</v>
      </c>
      <c r="L171" s="221">
        <f t="shared" si="31"/>
        <v>4.2475684338396213E-2</v>
      </c>
      <c r="M171" s="220">
        <v>7.5481120584652865</v>
      </c>
      <c r="N171" s="221">
        <f t="shared" si="29"/>
        <v>0.97916721434058651</v>
      </c>
    </row>
    <row r="172" spans="2:14" x14ac:dyDescent="0.25">
      <c r="B172" s="145" t="s">
        <v>91</v>
      </c>
      <c r="C172" s="220">
        <v>6.2247324613555293</v>
      </c>
      <c r="D172" s="221">
        <v>-0.36968378229929311</v>
      </c>
      <c r="E172" s="220">
        <v>5.982193732193732</v>
      </c>
      <c r="F172" s="221">
        <f t="shared" si="30"/>
        <v>-0.24253872916179731</v>
      </c>
      <c r="G172" s="220">
        <v>6.2266714336789422</v>
      </c>
      <c r="H172" s="221">
        <f t="shared" si="30"/>
        <v>0.2444777014852102</v>
      </c>
      <c r="I172" s="220">
        <v>6.1283255086071984</v>
      </c>
      <c r="J172" s="221">
        <f t="shared" si="30"/>
        <v>-9.8345925071743778E-2</v>
      </c>
      <c r="K172" s="220">
        <v>6.1717967072297784</v>
      </c>
      <c r="L172" s="221">
        <f t="shared" si="31"/>
        <v>4.3471198622579976E-2</v>
      </c>
      <c r="M172" s="220"/>
      <c r="N172" s="221"/>
    </row>
    <row r="173" spans="2:14" x14ac:dyDescent="0.25">
      <c r="B173" s="145" t="s">
        <v>93</v>
      </c>
      <c r="C173" s="220">
        <v>8</v>
      </c>
      <c r="D173" s="221">
        <v>2.5942028985507246</v>
      </c>
      <c r="E173" s="220">
        <v>6.9024390243902438</v>
      </c>
      <c r="F173" s="221">
        <f t="shared" si="30"/>
        <v>-1.0975609756097562</v>
      </c>
      <c r="G173" s="220">
        <v>7.8496287128712874</v>
      </c>
      <c r="H173" s="221">
        <f t="shared" si="30"/>
        <v>0.94718968848104357</v>
      </c>
      <c r="I173" s="220">
        <v>7.0292553191489358</v>
      </c>
      <c r="J173" s="221">
        <f t="shared" si="30"/>
        <v>-0.82037339372235163</v>
      </c>
      <c r="K173" s="220">
        <v>5.8347953216374266</v>
      </c>
      <c r="L173" s="221">
        <f t="shared" si="31"/>
        <v>-1.1944599975115091</v>
      </c>
      <c r="M173" s="220"/>
      <c r="N173" s="221"/>
    </row>
    <row r="174" spans="2:14" x14ac:dyDescent="0.25">
      <c r="B174" s="145" t="s">
        <v>95</v>
      </c>
      <c r="C174" s="220">
        <v>5.0691003911342891</v>
      </c>
      <c r="D174" s="221">
        <v>-0.21564281128262941</v>
      </c>
      <c r="E174" s="220">
        <v>6.2885729331226958</v>
      </c>
      <c r="F174" s="221">
        <f t="shared" si="30"/>
        <v>1.2194725419884067</v>
      </c>
      <c r="G174" s="220">
        <v>6.1374871266735322</v>
      </c>
      <c r="H174" s="221">
        <f t="shared" si="30"/>
        <v>-0.15108580644916358</v>
      </c>
      <c r="I174" s="220">
        <v>5.7238356164383566</v>
      </c>
      <c r="J174" s="221">
        <f t="shared" si="30"/>
        <v>-0.41365151023517566</v>
      </c>
      <c r="K174" s="220">
        <v>6.7889048991354466</v>
      </c>
      <c r="L174" s="221">
        <f t="shared" si="31"/>
        <v>1.06506928269709</v>
      </c>
      <c r="M174" s="220"/>
      <c r="N174" s="221"/>
    </row>
    <row r="175" spans="2:14" ht="15.75" x14ac:dyDescent="0.25">
      <c r="B175" s="148" t="s">
        <v>32</v>
      </c>
      <c r="C175" s="222">
        <v>6.446249620406924</v>
      </c>
      <c r="D175" s="223">
        <v>-0.31768881604195975</v>
      </c>
      <c r="E175" s="222">
        <v>6.1666010756919851</v>
      </c>
      <c r="F175" s="223">
        <f t="shared" si="30"/>
        <v>-0.27964854471493883</v>
      </c>
      <c r="G175" s="222">
        <v>6.3556792873051222</v>
      </c>
      <c r="H175" s="223">
        <f t="shared" si="30"/>
        <v>0.18907821161313709</v>
      </c>
      <c r="I175" s="222">
        <v>6.4696081948264181</v>
      </c>
      <c r="J175" s="223">
        <f t="shared" si="30"/>
        <v>0.11392890752129592</v>
      </c>
      <c r="K175" s="222">
        <v>6.7810325887953127</v>
      </c>
      <c r="L175" s="223">
        <f t="shared" si="31"/>
        <v>0.31142439396889454</v>
      </c>
      <c r="M175" s="222">
        <v>7.0302872666319862</v>
      </c>
      <c r="N175" s="223">
        <v>9.2350433377480279E-2</v>
      </c>
    </row>
    <row r="176" spans="2:14" ht="6" customHeight="1" x14ac:dyDescent="0.25"/>
    <row r="177" spans="1:15" x14ac:dyDescent="0.25">
      <c r="B177" s="131" t="s">
        <v>57</v>
      </c>
      <c r="C177" s="131"/>
      <c r="D177" s="131"/>
      <c r="E177" s="131"/>
      <c r="F177" s="131"/>
      <c r="G177" s="131"/>
      <c r="H177" s="131"/>
      <c r="I177" s="131"/>
      <c r="J177" s="131"/>
      <c r="K177" s="155"/>
      <c r="L177" s="131"/>
      <c r="M177" s="131"/>
      <c r="N177" s="131"/>
    </row>
    <row r="180" spans="1:15" ht="48.75" customHeight="1" thickBot="1" x14ac:dyDescent="0.3">
      <c r="B180" s="12" t="s">
        <v>300</v>
      </c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" t="s">
        <v>119</v>
      </c>
    </row>
    <row r="181" spans="1:15" ht="10.5" customHeight="1" thickBot="1" x14ac:dyDescent="0.3">
      <c r="B181" s="132"/>
      <c r="C181" s="133"/>
      <c r="D181" s="132"/>
      <c r="E181" s="132"/>
      <c r="F181" s="132"/>
      <c r="G181" s="132"/>
      <c r="H181" s="132"/>
      <c r="I181" s="132"/>
      <c r="J181" s="132"/>
      <c r="K181" s="132"/>
      <c r="L181" s="132"/>
      <c r="M181" s="4"/>
      <c r="N181" s="4"/>
      <c r="O181" s="1" t="s">
        <v>120</v>
      </c>
    </row>
    <row r="182" spans="1:15" ht="22.5" thickTop="1" thickBot="1" x14ac:dyDescent="0.3">
      <c r="B182" s="152" t="str">
        <f>C182</f>
        <v>Bélgica</v>
      </c>
      <c r="C182" s="135" t="s">
        <v>121</v>
      </c>
      <c r="D182" s="136"/>
      <c r="E182" s="136"/>
      <c r="F182" s="136"/>
      <c r="G182" s="136"/>
      <c r="H182" s="136"/>
      <c r="I182" s="136"/>
      <c r="J182" s="136"/>
      <c r="K182" s="136"/>
      <c r="L182" s="136"/>
      <c r="M182" s="136"/>
      <c r="N182" s="136"/>
    </row>
    <row r="183" spans="1:15" ht="22.5" thickTop="1" thickBot="1" x14ac:dyDescent="0.3">
      <c r="B183" s="137"/>
      <c r="C183" s="138">
        <v>2020</v>
      </c>
      <c r="D183" s="139"/>
      <c r="E183" s="140">
        <v>2021</v>
      </c>
      <c r="F183" s="139"/>
      <c r="G183" s="140">
        <v>2022</v>
      </c>
      <c r="H183" s="139"/>
      <c r="I183" s="140">
        <v>2023</v>
      </c>
      <c r="J183" s="139"/>
      <c r="K183" s="140">
        <v>2024</v>
      </c>
      <c r="L183" s="139"/>
      <c r="M183" s="140">
        <v>2025</v>
      </c>
      <c r="N183" s="141"/>
    </row>
    <row r="184" spans="1:15" ht="16.5" thickTop="1" thickBot="1" x14ac:dyDescent="0.3">
      <c r="B184" s="109"/>
      <c r="C184" s="142" t="s">
        <v>71</v>
      </c>
      <c r="D184" s="143" t="str">
        <f>CONCATENATE("dif ",RIGHT(C183,2),"/",RIGHT(C183-1,2))</f>
        <v>dif 20/19</v>
      </c>
      <c r="E184" s="144" t="s">
        <v>71</v>
      </c>
      <c r="F184" s="143" t="str">
        <f>CONCATENATE("dif ",RIGHT(E183,2),"/",RIGHT(C183,2))</f>
        <v>dif 21/20</v>
      </c>
      <c r="G184" s="144" t="s">
        <v>71</v>
      </c>
      <c r="H184" s="143" t="str">
        <f>CONCATENATE("dif ",RIGHT(G183,2),"/",RIGHT(E183,2))</f>
        <v>dif 22/21</v>
      </c>
      <c r="I184" s="144" t="s">
        <v>71</v>
      </c>
      <c r="J184" s="143" t="str">
        <f>CONCATENATE("dif ",RIGHT(I183,2),"/",RIGHT(G183,2))</f>
        <v>dif 23/22</v>
      </c>
      <c r="K184" s="144" t="s">
        <v>71</v>
      </c>
      <c r="L184" s="143" t="str">
        <f>CONCATENATE("dif ",RIGHT(K183,2),"/",RIGHT(I183,2))</f>
        <v>dif 24/23</v>
      </c>
      <c r="M184" s="144" t="s">
        <v>71</v>
      </c>
      <c r="N184" s="143" t="str">
        <f>CONCATENATE("dif ",RIGHT(M183,2),"/",RIGHT(K183,2))</f>
        <v>dif 25/24</v>
      </c>
    </row>
    <row r="185" spans="1:15" x14ac:dyDescent="0.25">
      <c r="A185" s="151"/>
      <c r="B185" s="145" t="s">
        <v>73</v>
      </c>
      <c r="C185" s="220">
        <v>9.319488817891374</v>
      </c>
      <c r="D185" s="221">
        <v>-1.2973942989917422</v>
      </c>
      <c r="E185" s="220">
        <v>6.3085714285714287</v>
      </c>
      <c r="F185" s="221">
        <f t="shared" ref="F185:J187" si="32">IFERROR(E185-C185,"-")</f>
        <v>-3.0109173893199452</v>
      </c>
      <c r="G185" s="220">
        <v>8.5574162679425836</v>
      </c>
      <c r="H185" s="221">
        <f t="shared" si="32"/>
        <v>2.2488448393711549</v>
      </c>
      <c r="I185" s="220">
        <v>8.6969696969696972</v>
      </c>
      <c r="J185" s="221">
        <f t="shared" si="32"/>
        <v>0.13955342902711365</v>
      </c>
      <c r="K185" s="220">
        <v>8.8498659517426272</v>
      </c>
      <c r="L185" s="221">
        <f t="shared" ref="L185:L187" si="33">IFERROR(K185-I185,"-")</f>
        <v>0.15289625477293001</v>
      </c>
      <c r="M185" s="220">
        <v>7.8496932515337425</v>
      </c>
      <c r="N185" s="221">
        <f t="shared" ref="N185:N193" si="34">IFERROR(M185-K185,"-")</f>
        <v>-1.0001727002088847</v>
      </c>
    </row>
    <row r="186" spans="1:15" x14ac:dyDescent="0.25">
      <c r="B186" s="145" t="s">
        <v>75</v>
      </c>
      <c r="C186" s="220">
        <v>6.2897196261682247</v>
      </c>
      <c r="D186" s="221">
        <v>-3.1202803738317755</v>
      </c>
      <c r="E186" s="220">
        <v>8.6111111111111107</v>
      </c>
      <c r="F186" s="221">
        <f t="shared" si="32"/>
        <v>2.3213914849428861</v>
      </c>
      <c r="G186" s="220">
        <v>5.5938303341902316</v>
      </c>
      <c r="H186" s="221">
        <f t="shared" si="32"/>
        <v>-3.0172807769208791</v>
      </c>
      <c r="I186" s="220">
        <v>7.5101123595505621</v>
      </c>
      <c r="J186" s="221">
        <f t="shared" si="32"/>
        <v>1.9162820253603305</v>
      </c>
      <c r="K186" s="220">
        <v>7.6536796536796539</v>
      </c>
      <c r="L186" s="221">
        <f t="shared" si="33"/>
        <v>0.14356729412909175</v>
      </c>
      <c r="M186" s="220">
        <v>6.2706552706552703</v>
      </c>
      <c r="N186" s="221">
        <f t="shared" si="34"/>
        <v>-1.3830243830243836</v>
      </c>
    </row>
    <row r="187" spans="1:15" x14ac:dyDescent="0.25">
      <c r="B187" s="145" t="s">
        <v>77</v>
      </c>
      <c r="C187" s="220">
        <v>7.180616740088106</v>
      </c>
      <c r="D187" s="221">
        <v>-2.0497355634349299</v>
      </c>
      <c r="E187" s="220">
        <v>5.25</v>
      </c>
      <c r="F187" s="221">
        <f t="shared" si="32"/>
        <v>-1.930616740088106</v>
      </c>
      <c r="G187" s="220">
        <v>7.1073446327683616</v>
      </c>
      <c r="H187" s="221">
        <f t="shared" si="32"/>
        <v>1.8573446327683616</v>
      </c>
      <c r="I187" s="220">
        <v>9.2798742138364787</v>
      </c>
      <c r="J187" s="221">
        <f t="shared" si="32"/>
        <v>2.1725295810681171</v>
      </c>
      <c r="K187" s="220">
        <v>7.7043918918918921</v>
      </c>
      <c r="L187" s="221">
        <f t="shared" si="33"/>
        <v>-1.5754823219445866</v>
      </c>
      <c r="M187" s="220">
        <v>7.7165354330708658</v>
      </c>
      <c r="N187" s="221">
        <f t="shared" si="34"/>
        <v>1.2143541178973649E-2</v>
      </c>
    </row>
    <row r="188" spans="1:15" x14ac:dyDescent="0.25">
      <c r="B188" s="145" t="s">
        <v>79</v>
      </c>
      <c r="C188" s="220" t="s">
        <v>252</v>
      </c>
      <c r="D188" s="221" t="s">
        <v>252</v>
      </c>
      <c r="E188" s="220">
        <v>5.2121212121212119</v>
      </c>
      <c r="F188" s="221" t="str">
        <f>IFERROR(E188-C188,"-")</f>
        <v>-</v>
      </c>
      <c r="G188" s="220">
        <v>6.235611510791367</v>
      </c>
      <c r="H188" s="221">
        <f>IFERROR(G188-E188,"-")</f>
        <v>1.0234902986701551</v>
      </c>
      <c r="I188" s="220">
        <v>7.8366197183098594</v>
      </c>
      <c r="J188" s="221">
        <f>IFERROR(I188-G188,"-")</f>
        <v>1.6010082075184924</v>
      </c>
      <c r="K188" s="220">
        <v>8.6806930693069315</v>
      </c>
      <c r="L188" s="221">
        <f>IFERROR(K188-I188,"-")</f>
        <v>0.84407335099707215</v>
      </c>
      <c r="M188" s="220">
        <v>5.963093145869947</v>
      </c>
      <c r="N188" s="221">
        <f t="shared" si="34"/>
        <v>-2.7175999234369845</v>
      </c>
    </row>
    <row r="189" spans="1:15" x14ac:dyDescent="0.25">
      <c r="B189" s="145" t="s">
        <v>81</v>
      </c>
      <c r="C189" s="220" t="s">
        <v>252</v>
      </c>
      <c r="D189" s="221" t="s">
        <v>252</v>
      </c>
      <c r="E189" s="220">
        <v>4.8250000000000002</v>
      </c>
      <c r="F189" s="221" t="str">
        <f t="shared" ref="F189:J197" si="35">IFERROR(E189-C189,"-")</f>
        <v>-</v>
      </c>
      <c r="G189" s="220">
        <v>6.1355140186915884</v>
      </c>
      <c r="H189" s="221">
        <f t="shared" si="35"/>
        <v>1.3105140186915882</v>
      </c>
      <c r="I189" s="220">
        <v>7.5637065637065639</v>
      </c>
      <c r="J189" s="221">
        <f t="shared" si="35"/>
        <v>1.4281925450149755</v>
      </c>
      <c r="K189" s="220">
        <v>8.140703517587939</v>
      </c>
      <c r="L189" s="221">
        <f t="shared" ref="L189:L197" si="36">IFERROR(K189-I189,"-")</f>
        <v>0.57699695388137506</v>
      </c>
      <c r="M189" s="220">
        <v>11.962085308056873</v>
      </c>
      <c r="N189" s="221">
        <f t="shared" si="34"/>
        <v>3.8213817904689336</v>
      </c>
    </row>
    <row r="190" spans="1:15" x14ac:dyDescent="0.25">
      <c r="B190" s="145" t="s">
        <v>122</v>
      </c>
      <c r="C190" s="220" t="s">
        <v>252</v>
      </c>
      <c r="D190" s="221" t="s">
        <v>252</v>
      </c>
      <c r="E190" s="220">
        <v>6.8023255813953485</v>
      </c>
      <c r="F190" s="221" t="str">
        <f t="shared" si="35"/>
        <v>-</v>
      </c>
      <c r="G190" s="220">
        <v>6.709677419354839</v>
      </c>
      <c r="H190" s="221">
        <f t="shared" si="35"/>
        <v>-9.2648162040509519E-2</v>
      </c>
      <c r="I190" s="220">
        <v>7.7424657534246579</v>
      </c>
      <c r="J190" s="221">
        <f t="shared" si="35"/>
        <v>1.032788334069819</v>
      </c>
      <c r="K190" s="220">
        <v>8.120075046904315</v>
      </c>
      <c r="L190" s="221">
        <f t="shared" si="36"/>
        <v>0.3776092934796571</v>
      </c>
      <c r="M190" s="220">
        <v>7.7861842105263159</v>
      </c>
      <c r="N190" s="221">
        <f t="shared" si="34"/>
        <v>-0.3338908363779991</v>
      </c>
    </row>
    <row r="191" spans="1:15" x14ac:dyDescent="0.25">
      <c r="B191" s="145" t="s">
        <v>85</v>
      </c>
      <c r="C191" s="220" t="s">
        <v>252</v>
      </c>
      <c r="D191" s="221" t="s">
        <v>252</v>
      </c>
      <c r="E191" s="220">
        <v>9.1930693069306937</v>
      </c>
      <c r="F191" s="221" t="str">
        <f t="shared" si="35"/>
        <v>-</v>
      </c>
      <c r="G191" s="220">
        <v>7.8844696969696972</v>
      </c>
      <c r="H191" s="221">
        <f t="shared" si="35"/>
        <v>-1.3085996099609964</v>
      </c>
      <c r="I191" s="220">
        <v>6.6075036075036078</v>
      </c>
      <c r="J191" s="221">
        <f t="shared" si="35"/>
        <v>-1.2769660894660895</v>
      </c>
      <c r="K191" s="220">
        <v>7.4171974522292992</v>
      </c>
      <c r="L191" s="221">
        <f t="shared" si="36"/>
        <v>0.80969384472569139</v>
      </c>
      <c r="M191" s="220">
        <v>7.7472924187725631</v>
      </c>
      <c r="N191" s="221">
        <f t="shared" si="34"/>
        <v>0.33009496654326398</v>
      </c>
    </row>
    <row r="192" spans="1:15" x14ac:dyDescent="0.25">
      <c r="B192" s="145" t="s">
        <v>87</v>
      </c>
      <c r="C192" s="220">
        <v>5.0167286245353164</v>
      </c>
      <c r="D192" s="221">
        <v>-5.0937976912541565</v>
      </c>
      <c r="E192" s="220">
        <v>4.776859504132231</v>
      </c>
      <c r="F192" s="221">
        <f t="shared" si="35"/>
        <v>-0.23986912040308539</v>
      </c>
      <c r="G192" s="220">
        <v>8.9580152671755719</v>
      </c>
      <c r="H192" s="221">
        <f t="shared" si="35"/>
        <v>4.1811557630433409</v>
      </c>
      <c r="I192" s="220">
        <v>7.5533199195171026</v>
      </c>
      <c r="J192" s="221">
        <f t="shared" si="35"/>
        <v>-1.4046953476584694</v>
      </c>
      <c r="K192" s="220">
        <v>6.4814814814814818</v>
      </c>
      <c r="L192" s="221">
        <f t="shared" si="36"/>
        <v>-1.0718384380356207</v>
      </c>
      <c r="M192" s="220">
        <v>7.8896321070234112</v>
      </c>
      <c r="N192" s="221">
        <f t="shared" si="34"/>
        <v>1.4081506255419294</v>
      </c>
    </row>
    <row r="193" spans="2:15" x14ac:dyDescent="0.25">
      <c r="B193" s="145" t="s">
        <v>89</v>
      </c>
      <c r="C193" s="220">
        <v>6.0535714285714288</v>
      </c>
      <c r="D193" s="221">
        <v>-3.185034469551896</v>
      </c>
      <c r="E193" s="220">
        <v>6.3159999999999998</v>
      </c>
      <c r="F193" s="221">
        <f t="shared" si="35"/>
        <v>0.26242857142857101</v>
      </c>
      <c r="G193" s="220">
        <v>7.1208459214501509</v>
      </c>
      <c r="H193" s="221">
        <f t="shared" si="35"/>
        <v>0.8048459214501511</v>
      </c>
      <c r="I193" s="220">
        <v>7.6696165191740411</v>
      </c>
      <c r="J193" s="221">
        <f t="shared" si="35"/>
        <v>0.54877059772389014</v>
      </c>
      <c r="K193" s="220">
        <v>7.8940092165898621</v>
      </c>
      <c r="L193" s="221">
        <f t="shared" si="36"/>
        <v>0.22439269741582102</v>
      </c>
      <c r="M193" s="220">
        <v>7.2243902439024392</v>
      </c>
      <c r="N193" s="221">
        <f t="shared" si="34"/>
        <v>-0.66961897268742288</v>
      </c>
    </row>
    <row r="194" spans="2:15" x14ac:dyDescent="0.25">
      <c r="B194" s="145" t="s">
        <v>91</v>
      </c>
      <c r="C194" s="220">
        <v>7.6309523809523814</v>
      </c>
      <c r="D194" s="221">
        <v>-1.2109593837535009</v>
      </c>
      <c r="E194" s="220">
        <v>5.9019607843137258</v>
      </c>
      <c r="F194" s="221">
        <f t="shared" si="35"/>
        <v>-1.7289915966386555</v>
      </c>
      <c r="G194" s="220">
        <v>6.3746701846965701</v>
      </c>
      <c r="H194" s="221">
        <f t="shared" si="35"/>
        <v>0.47270940038284426</v>
      </c>
      <c r="I194" s="220">
        <v>6.2601880877742948</v>
      </c>
      <c r="J194" s="221">
        <f t="shared" si="35"/>
        <v>-0.11448209692227529</v>
      </c>
      <c r="K194" s="220">
        <v>6.36</v>
      </c>
      <c r="L194" s="221">
        <f t="shared" si="36"/>
        <v>9.9811912225705512E-2</v>
      </c>
      <c r="M194" s="220"/>
      <c r="N194" s="221"/>
    </row>
    <row r="195" spans="2:15" x14ac:dyDescent="0.25">
      <c r="B195" s="145" t="s">
        <v>93</v>
      </c>
      <c r="C195" s="220">
        <v>5.4861111111111107</v>
      </c>
      <c r="D195" s="221">
        <v>-3.2607638888888886</v>
      </c>
      <c r="E195" s="220">
        <v>7.4267515923566876</v>
      </c>
      <c r="F195" s="221">
        <f t="shared" si="35"/>
        <v>1.9406404812455769</v>
      </c>
      <c r="G195" s="220">
        <v>7.4951456310679614</v>
      </c>
      <c r="H195" s="221">
        <f t="shared" si="35"/>
        <v>6.8394038711273808E-2</v>
      </c>
      <c r="I195" s="220">
        <v>7.8169336384439356</v>
      </c>
      <c r="J195" s="221">
        <f t="shared" si="35"/>
        <v>0.32178800737597424</v>
      </c>
      <c r="K195" s="220">
        <v>6.4905660377358494</v>
      </c>
      <c r="L195" s="221">
        <f t="shared" si="36"/>
        <v>-1.3263676007080862</v>
      </c>
      <c r="M195" s="220"/>
      <c r="N195" s="221"/>
    </row>
    <row r="196" spans="2:15" x14ac:dyDescent="0.25">
      <c r="B196" s="145" t="s">
        <v>95</v>
      </c>
      <c r="C196" s="220">
        <v>5.2301587301587302</v>
      </c>
      <c r="D196" s="221">
        <v>-3.5128968253968251</v>
      </c>
      <c r="E196" s="220">
        <v>5.7030965391621127</v>
      </c>
      <c r="F196" s="221">
        <f t="shared" si="35"/>
        <v>0.47293780900338245</v>
      </c>
      <c r="G196" s="220">
        <v>6.3891213389121342</v>
      </c>
      <c r="H196" s="221">
        <f t="shared" si="35"/>
        <v>0.68602479975002151</v>
      </c>
      <c r="I196" s="220">
        <v>6.9157088122605366</v>
      </c>
      <c r="J196" s="221">
        <f t="shared" si="35"/>
        <v>0.52658747334840239</v>
      </c>
      <c r="K196" s="220">
        <v>6.6901408450704229</v>
      </c>
      <c r="L196" s="221">
        <f t="shared" si="36"/>
        <v>-0.22556796719011363</v>
      </c>
      <c r="M196" s="220"/>
      <c r="N196" s="221"/>
    </row>
    <row r="197" spans="2:15" ht="15.75" x14ac:dyDescent="0.25">
      <c r="B197" s="148" t="s">
        <v>32</v>
      </c>
      <c r="C197" s="222">
        <v>6.4966408268733851</v>
      </c>
      <c r="D197" s="223">
        <v>-2.7802822500496926</v>
      </c>
      <c r="E197" s="222">
        <v>6.2224880382775121</v>
      </c>
      <c r="F197" s="223">
        <f t="shared" si="35"/>
        <v>-0.274152788595873</v>
      </c>
      <c r="G197" s="222">
        <v>7.0339242722696431</v>
      </c>
      <c r="H197" s="223">
        <f t="shared" si="35"/>
        <v>0.81143623399213105</v>
      </c>
      <c r="I197" s="222">
        <v>7.4551912568306014</v>
      </c>
      <c r="J197" s="223">
        <f t="shared" si="35"/>
        <v>0.42126698456095824</v>
      </c>
      <c r="K197" s="222">
        <v>7.5349631493798306</v>
      </c>
      <c r="L197" s="223">
        <f t="shared" si="36"/>
        <v>7.9771892549229229E-2</v>
      </c>
      <c r="M197" s="222">
        <v>7.5362499999999999</v>
      </c>
      <c r="N197" s="223">
        <v>-0.29553005591798698</v>
      </c>
    </row>
    <row r="198" spans="2:15" ht="6" customHeight="1" x14ac:dyDescent="0.25"/>
    <row r="199" spans="2:15" x14ac:dyDescent="0.25">
      <c r="B199" s="131" t="s">
        <v>57</v>
      </c>
      <c r="C199" s="131"/>
      <c r="D199" s="131"/>
      <c r="E199" s="131"/>
      <c r="F199" s="131"/>
      <c r="G199" s="131"/>
      <c r="H199" s="131"/>
      <c r="I199" s="131"/>
      <c r="J199" s="131"/>
      <c r="K199" s="131"/>
      <c r="L199" s="131"/>
      <c r="M199" s="131"/>
      <c r="N199" s="131"/>
    </row>
    <row r="200" spans="2:15" x14ac:dyDescent="0.25">
      <c r="K200" s="151"/>
    </row>
    <row r="201" spans="2:15" x14ac:dyDescent="0.25">
      <c r="C201" s="103"/>
      <c r="D201" s="103"/>
      <c r="E201" s="103"/>
      <c r="F201" s="103"/>
      <c r="G201" s="103"/>
      <c r="H201" s="103"/>
      <c r="I201" s="103"/>
      <c r="J201" s="103"/>
      <c r="K201" s="103"/>
      <c r="L201" s="103"/>
      <c r="M201" s="103"/>
      <c r="N201" s="103"/>
    </row>
    <row r="202" spans="2:15" ht="48.75" customHeight="1" thickBot="1" x14ac:dyDescent="0.3">
      <c r="B202" s="12" t="s">
        <v>301</v>
      </c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" t="s">
        <v>123</v>
      </c>
    </row>
    <row r="203" spans="2:15" ht="10.5" customHeight="1" thickBot="1" x14ac:dyDescent="0.3">
      <c r="B203" s="132"/>
      <c r="C203" s="133"/>
      <c r="D203" s="132"/>
      <c r="E203" s="132"/>
      <c r="F203" s="132"/>
      <c r="G203" s="132"/>
      <c r="H203" s="132"/>
      <c r="I203" s="132"/>
      <c r="J203" s="132"/>
      <c r="K203" s="132"/>
      <c r="L203" s="132"/>
      <c r="M203" s="4"/>
      <c r="N203" s="4"/>
      <c r="O203" s="1" t="s">
        <v>124</v>
      </c>
    </row>
    <row r="204" spans="2:15" ht="22.5" thickTop="1" thickBot="1" x14ac:dyDescent="0.3">
      <c r="B204" s="152" t="str">
        <f>C204</f>
        <v>Países Bajos</v>
      </c>
      <c r="C204" s="135" t="s">
        <v>125</v>
      </c>
      <c r="D204" s="136"/>
      <c r="E204" s="136"/>
      <c r="F204" s="136"/>
      <c r="G204" s="136"/>
      <c r="H204" s="136"/>
      <c r="I204" s="136"/>
      <c r="J204" s="136"/>
      <c r="K204" s="136"/>
      <c r="L204" s="136"/>
      <c r="M204" s="136"/>
      <c r="N204" s="136"/>
    </row>
    <row r="205" spans="2:15" ht="22.5" thickTop="1" thickBot="1" x14ac:dyDescent="0.3">
      <c r="B205" s="137"/>
      <c r="C205" s="138">
        <v>2020</v>
      </c>
      <c r="D205" s="139"/>
      <c r="E205" s="140">
        <v>2021</v>
      </c>
      <c r="F205" s="139"/>
      <c r="G205" s="140">
        <v>2022</v>
      </c>
      <c r="H205" s="139"/>
      <c r="I205" s="140">
        <v>2023</v>
      </c>
      <c r="J205" s="139"/>
      <c r="K205" s="140">
        <v>2024</v>
      </c>
      <c r="L205" s="139"/>
      <c r="M205" s="140">
        <v>2025</v>
      </c>
      <c r="N205" s="141"/>
    </row>
    <row r="206" spans="2:15" ht="16.5" thickTop="1" thickBot="1" x14ac:dyDescent="0.3">
      <c r="B206" s="109"/>
      <c r="C206" s="142" t="s">
        <v>71</v>
      </c>
      <c r="D206" s="143" t="str">
        <f>CONCATENATE("dif ",RIGHT(C205,2),"/",RIGHT(C205-1,2))</f>
        <v>dif 20/19</v>
      </c>
      <c r="E206" s="144" t="s">
        <v>71</v>
      </c>
      <c r="F206" s="143" t="str">
        <f>CONCATENATE("dif ",RIGHT(E205,2),"/",RIGHT(C205,2))</f>
        <v>dif 21/20</v>
      </c>
      <c r="G206" s="144" t="s">
        <v>71</v>
      </c>
      <c r="H206" s="143" t="str">
        <f>CONCATENATE("dif ",RIGHT(G205,2),"/",RIGHT(E205,2))</f>
        <v>dif 22/21</v>
      </c>
      <c r="I206" s="144" t="s">
        <v>71</v>
      </c>
      <c r="J206" s="143" t="str">
        <f>CONCATENATE("dif ",RIGHT(I205,2),"/",RIGHT(G205,2))</f>
        <v>dif 23/22</v>
      </c>
      <c r="K206" s="144" t="s">
        <v>71</v>
      </c>
      <c r="L206" s="143" t="str">
        <f>CONCATENATE("dif ",RIGHT(K205,2),"/",RIGHT(I205,2))</f>
        <v>dif 24/23</v>
      </c>
      <c r="M206" s="144" t="s">
        <v>71</v>
      </c>
      <c r="N206" s="143" t="str">
        <f>CONCATENATE("dif ",RIGHT(M205,2),"/",RIGHT(K205,2))</f>
        <v>dif 25/24</v>
      </c>
    </row>
    <row r="207" spans="2:15" x14ac:dyDescent="0.25">
      <c r="B207" s="145" t="s">
        <v>73</v>
      </c>
      <c r="C207" s="220">
        <v>6.4727793696275073</v>
      </c>
      <c r="D207" s="221">
        <v>-2.5635842667361297</v>
      </c>
      <c r="E207" s="220">
        <v>6</v>
      </c>
      <c r="F207" s="221">
        <f t="shared" ref="F207:J209" si="37">IFERROR(E207-C207,"-")</f>
        <v>-0.47277936962750733</v>
      </c>
      <c r="G207" s="220">
        <v>5.4202586206896548</v>
      </c>
      <c r="H207" s="221">
        <f t="shared" si="37"/>
        <v>-0.5797413793103452</v>
      </c>
      <c r="I207" s="220">
        <v>7.4215976331360949</v>
      </c>
      <c r="J207" s="221">
        <f t="shared" si="37"/>
        <v>2.0013390124464401</v>
      </c>
      <c r="K207" s="220">
        <v>10.036101083032491</v>
      </c>
      <c r="L207" s="221">
        <f t="shared" ref="L207:L209" si="38">IFERROR(K207-I207,"-")</f>
        <v>2.6145034498963966</v>
      </c>
      <c r="M207" s="220">
        <v>8.822265625</v>
      </c>
      <c r="N207" s="221">
        <f t="shared" ref="N207:N215" si="39">IFERROR(M207-K207,"-")</f>
        <v>-1.2138354580324915</v>
      </c>
    </row>
    <row r="208" spans="2:15" x14ac:dyDescent="0.25">
      <c r="B208" s="145" t="s">
        <v>75</v>
      </c>
      <c r="C208" s="220">
        <v>7.0763358778625953</v>
      </c>
      <c r="D208" s="221">
        <v>-1.5368716693072155</v>
      </c>
      <c r="E208" s="220">
        <v>2.86046511627907</v>
      </c>
      <c r="F208" s="221">
        <f t="shared" si="37"/>
        <v>-4.2158707615835258</v>
      </c>
      <c r="G208" s="220">
        <v>5.7116883116883113</v>
      </c>
      <c r="H208" s="221">
        <f t="shared" si="37"/>
        <v>2.8512231954092413</v>
      </c>
      <c r="I208" s="220">
        <v>6.1691078561917445</v>
      </c>
      <c r="J208" s="221">
        <f t="shared" si="37"/>
        <v>0.45741954450343325</v>
      </c>
      <c r="K208" s="220">
        <v>9.6203288490284002</v>
      </c>
      <c r="L208" s="221">
        <f t="shared" si="38"/>
        <v>3.4512209928366557</v>
      </c>
      <c r="M208" s="220">
        <v>6.4498525073746311</v>
      </c>
      <c r="N208" s="221">
        <f t="shared" si="39"/>
        <v>-3.1704763416537691</v>
      </c>
    </row>
    <row r="209" spans="2:15" x14ac:dyDescent="0.25">
      <c r="B209" s="145" t="s">
        <v>77</v>
      </c>
      <c r="C209" s="220">
        <v>8.3571428571428577</v>
      </c>
      <c r="D209" s="221">
        <v>0.56175380815150344</v>
      </c>
      <c r="E209" s="220">
        <v>5.5</v>
      </c>
      <c r="F209" s="221">
        <f t="shared" si="37"/>
        <v>-2.8571428571428577</v>
      </c>
      <c r="G209" s="220">
        <v>6.5864527629233516</v>
      </c>
      <c r="H209" s="221">
        <f t="shared" si="37"/>
        <v>1.0864527629233516</v>
      </c>
      <c r="I209" s="220">
        <v>7.4685534591194971</v>
      </c>
      <c r="J209" s="221">
        <f t="shared" si="37"/>
        <v>0.88210069619614551</v>
      </c>
      <c r="K209" s="220">
        <v>10.040567951318458</v>
      </c>
      <c r="L209" s="221">
        <f t="shared" si="38"/>
        <v>2.5720144921989609</v>
      </c>
      <c r="M209" s="220">
        <v>7.5100548446069473</v>
      </c>
      <c r="N209" s="221">
        <f t="shared" si="39"/>
        <v>-2.5305131067115108</v>
      </c>
    </row>
    <row r="210" spans="2:15" x14ac:dyDescent="0.25">
      <c r="B210" s="145" t="s">
        <v>79</v>
      </c>
      <c r="C210" s="220" t="s">
        <v>252</v>
      </c>
      <c r="D210" s="221" t="s">
        <v>252</v>
      </c>
      <c r="E210" s="220">
        <v>2.84</v>
      </c>
      <c r="F210" s="221" t="str">
        <f>IFERROR(E210-C210,"-")</f>
        <v>-</v>
      </c>
      <c r="G210" s="220">
        <v>5.3230912476722532</v>
      </c>
      <c r="H210" s="221">
        <f>IFERROR(G210-E210,"-")</f>
        <v>2.4830912476722533</v>
      </c>
      <c r="I210" s="220">
        <v>7.0227048371174732</v>
      </c>
      <c r="J210" s="221">
        <f>IFERROR(I210-G210,"-")</f>
        <v>1.69961358944522</v>
      </c>
      <c r="K210" s="220">
        <v>8.3473684210526322</v>
      </c>
      <c r="L210" s="221">
        <f>IFERROR(K210-I210,"-")</f>
        <v>1.324663583935159</v>
      </c>
      <c r="M210" s="220">
        <v>7.1983050847457628</v>
      </c>
      <c r="N210" s="221">
        <f t="shared" si="39"/>
        <v>-1.1490633363068694</v>
      </c>
    </row>
    <row r="211" spans="2:15" x14ac:dyDescent="0.25">
      <c r="B211" s="145" t="s">
        <v>81</v>
      </c>
      <c r="C211" s="220" t="s">
        <v>252</v>
      </c>
      <c r="D211" s="221" t="s">
        <v>252</v>
      </c>
      <c r="E211" s="220">
        <v>4.5</v>
      </c>
      <c r="F211" s="221" t="str">
        <f t="shared" ref="F211:J219" si="40">IFERROR(E211-C211,"-")</f>
        <v>-</v>
      </c>
      <c r="G211" s="220">
        <v>7.1088270858524787</v>
      </c>
      <c r="H211" s="221">
        <f t="shared" si="40"/>
        <v>2.6088270858524787</v>
      </c>
      <c r="I211" s="220">
        <v>11.213178294573643</v>
      </c>
      <c r="J211" s="221">
        <f t="shared" si="40"/>
        <v>4.1043512087211642</v>
      </c>
      <c r="K211" s="220">
        <v>10.84819734345351</v>
      </c>
      <c r="L211" s="221">
        <f t="shared" ref="L211:L219" si="41">IFERROR(K211-I211,"-")</f>
        <v>-0.36498095112013296</v>
      </c>
      <c r="M211" s="220">
        <v>11.260714285714286</v>
      </c>
      <c r="N211" s="221">
        <f t="shared" si="39"/>
        <v>0.41251694226077618</v>
      </c>
    </row>
    <row r="212" spans="2:15" x14ac:dyDescent="0.25">
      <c r="B212" s="145" t="s">
        <v>83</v>
      </c>
      <c r="C212" s="220" t="s">
        <v>252</v>
      </c>
      <c r="D212" s="221" t="s">
        <v>252</v>
      </c>
      <c r="E212" s="220">
        <v>8.8541666666666661</v>
      </c>
      <c r="F212" s="221" t="str">
        <f t="shared" si="40"/>
        <v>-</v>
      </c>
      <c r="G212" s="220">
        <v>6.1521084337349397</v>
      </c>
      <c r="H212" s="221">
        <f t="shared" si="40"/>
        <v>-2.7020582329317264</v>
      </c>
      <c r="I212" s="220">
        <v>11.01419878296146</v>
      </c>
      <c r="J212" s="221">
        <f t="shared" si="40"/>
        <v>4.8620903492265199</v>
      </c>
      <c r="K212" s="220">
        <v>12.085648148148149</v>
      </c>
      <c r="L212" s="221">
        <f t="shared" si="41"/>
        <v>1.0714493651866892</v>
      </c>
      <c r="M212" s="220">
        <v>9.2015113350125937</v>
      </c>
      <c r="N212" s="221">
        <f t="shared" si="39"/>
        <v>-2.8841368131355551</v>
      </c>
    </row>
    <row r="213" spans="2:15" x14ac:dyDescent="0.25">
      <c r="B213" s="145" t="s">
        <v>85</v>
      </c>
      <c r="C213" s="220" t="s">
        <v>252</v>
      </c>
      <c r="D213" s="221" t="s">
        <v>252</v>
      </c>
      <c r="E213" s="220">
        <v>4.8</v>
      </c>
      <c r="F213" s="221" t="str">
        <f t="shared" si="40"/>
        <v>-</v>
      </c>
      <c r="G213" s="220">
        <v>6.0893952673093779</v>
      </c>
      <c r="H213" s="221">
        <f t="shared" si="40"/>
        <v>1.289395267309378</v>
      </c>
      <c r="I213" s="220">
        <v>9.6335260115606935</v>
      </c>
      <c r="J213" s="221">
        <f t="shared" si="40"/>
        <v>3.5441307442513157</v>
      </c>
      <c r="K213" s="220">
        <v>9.9510357815442561</v>
      </c>
      <c r="L213" s="221">
        <f t="shared" si="41"/>
        <v>0.31750976998356251</v>
      </c>
      <c r="M213" s="220">
        <v>10.435852372583479</v>
      </c>
      <c r="N213" s="221">
        <f t="shared" si="39"/>
        <v>0.48481659103922325</v>
      </c>
    </row>
    <row r="214" spans="2:15" x14ac:dyDescent="0.25">
      <c r="B214" s="145" t="s">
        <v>87</v>
      </c>
      <c r="C214" s="220">
        <v>8.0295857988165675</v>
      </c>
      <c r="D214" s="221">
        <v>-4.0315762806941358</v>
      </c>
      <c r="E214" s="220">
        <v>7.5269461077844309</v>
      </c>
      <c r="F214" s="221">
        <f t="shared" si="40"/>
        <v>-0.50263969103213668</v>
      </c>
      <c r="G214" s="220">
        <v>5.9843363561417968</v>
      </c>
      <c r="H214" s="221">
        <f t="shared" si="40"/>
        <v>-1.542609751642634</v>
      </c>
      <c r="I214" s="220">
        <v>10.585014409221902</v>
      </c>
      <c r="J214" s="221">
        <f t="shared" si="40"/>
        <v>4.600678053080105</v>
      </c>
      <c r="K214" s="220">
        <v>9.5925196850393704</v>
      </c>
      <c r="L214" s="221">
        <f t="shared" si="41"/>
        <v>-0.99249472418253148</v>
      </c>
      <c r="M214" s="220">
        <v>14.211640211640212</v>
      </c>
      <c r="N214" s="221">
        <f t="shared" si="39"/>
        <v>4.6191205266008417</v>
      </c>
    </row>
    <row r="215" spans="2:15" x14ac:dyDescent="0.25">
      <c r="B215" s="145" t="s">
        <v>89</v>
      </c>
      <c r="C215" s="220">
        <v>28.5</v>
      </c>
      <c r="D215" s="221">
        <v>19.409620991253647</v>
      </c>
      <c r="E215" s="220">
        <v>4.8483965014577262</v>
      </c>
      <c r="F215" s="221">
        <f t="shared" si="40"/>
        <v>-23.651603498542272</v>
      </c>
      <c r="G215" s="220">
        <v>7.141089108910891</v>
      </c>
      <c r="H215" s="221">
        <f t="shared" si="40"/>
        <v>2.2926926074531648</v>
      </c>
      <c r="I215" s="220">
        <v>9.3552795031055904</v>
      </c>
      <c r="J215" s="221">
        <f t="shared" si="40"/>
        <v>2.2141903941946994</v>
      </c>
      <c r="K215" s="220">
        <v>8.4372197309417043</v>
      </c>
      <c r="L215" s="221">
        <f t="shared" si="41"/>
        <v>-0.91805977216388612</v>
      </c>
      <c r="M215" s="220">
        <v>10.145969498910675</v>
      </c>
      <c r="N215" s="221">
        <f t="shared" si="39"/>
        <v>1.7087497679689712</v>
      </c>
    </row>
    <row r="216" spans="2:15" x14ac:dyDescent="0.25">
      <c r="B216" s="145" t="s">
        <v>91</v>
      </c>
      <c r="C216" s="220">
        <v>4.5789473684210522</v>
      </c>
      <c r="D216" s="221">
        <v>-4.5014384836689798</v>
      </c>
      <c r="E216" s="220">
        <v>5.0696202531645573</v>
      </c>
      <c r="F216" s="221">
        <f t="shared" si="40"/>
        <v>0.49067288474350512</v>
      </c>
      <c r="G216" s="220">
        <v>6.2877291960507762</v>
      </c>
      <c r="H216" s="221">
        <f t="shared" si="40"/>
        <v>1.2181089428862188</v>
      </c>
      <c r="I216" s="220">
        <v>9.9650067294751015</v>
      </c>
      <c r="J216" s="221">
        <f t="shared" si="40"/>
        <v>3.6772775334243253</v>
      </c>
      <c r="K216" s="220">
        <v>7.2849002849002851</v>
      </c>
      <c r="L216" s="221">
        <f t="shared" si="41"/>
        <v>-2.6801064445748164</v>
      </c>
      <c r="M216" s="220"/>
      <c r="N216" s="221"/>
    </row>
    <row r="217" spans="2:15" x14ac:dyDescent="0.25">
      <c r="B217" s="145" t="s">
        <v>93</v>
      </c>
      <c r="C217" s="220">
        <v>5.7807017543859649</v>
      </c>
      <c r="D217" s="221">
        <v>-1.4174689773213522</v>
      </c>
      <c r="E217" s="220">
        <v>5.1133200795228628</v>
      </c>
      <c r="F217" s="221">
        <f t="shared" si="40"/>
        <v>-0.66738167486310207</v>
      </c>
      <c r="G217" s="220">
        <v>5.8250773993808052</v>
      </c>
      <c r="H217" s="221">
        <f t="shared" si="40"/>
        <v>0.71175731985794233</v>
      </c>
      <c r="I217" s="220">
        <v>7.9652294853963834</v>
      </c>
      <c r="J217" s="221">
        <f t="shared" si="40"/>
        <v>2.1401520860155783</v>
      </c>
      <c r="K217" s="220">
        <v>5.5432300163132133</v>
      </c>
      <c r="L217" s="221">
        <f t="shared" si="41"/>
        <v>-2.4219994690831701</v>
      </c>
      <c r="M217" s="220"/>
      <c r="N217" s="221"/>
    </row>
    <row r="218" spans="2:15" x14ac:dyDescent="0.25">
      <c r="B218" s="145" t="s">
        <v>95</v>
      </c>
      <c r="C218" s="220">
        <v>6.3580246913580245</v>
      </c>
      <c r="D218" s="221">
        <v>-3.4590484793736822</v>
      </c>
      <c r="E218" s="220">
        <v>4.9749715585893064</v>
      </c>
      <c r="F218" s="221">
        <f t="shared" si="40"/>
        <v>-1.3830531327687181</v>
      </c>
      <c r="G218" s="220">
        <v>6.2163461538461542</v>
      </c>
      <c r="H218" s="221">
        <f t="shared" si="40"/>
        <v>1.2413745952568478</v>
      </c>
      <c r="I218" s="220">
        <v>9.3677419354838705</v>
      </c>
      <c r="J218" s="221">
        <f t="shared" si="40"/>
        <v>3.1513957816377163</v>
      </c>
      <c r="K218" s="220">
        <v>7.8854805725971371</v>
      </c>
      <c r="L218" s="221">
        <f t="shared" si="41"/>
        <v>-1.4822613628867334</v>
      </c>
      <c r="M218" s="220"/>
      <c r="N218" s="221"/>
    </row>
    <row r="219" spans="2:15" ht="15.75" x14ac:dyDescent="0.25">
      <c r="B219" s="148" t="s">
        <v>32</v>
      </c>
      <c r="C219" s="222">
        <v>7.0369206598586018</v>
      </c>
      <c r="D219" s="223">
        <v>-2.785076811696392</v>
      </c>
      <c r="E219" s="222">
        <v>5.1207054512139258</v>
      </c>
      <c r="F219" s="223">
        <f t="shared" si="40"/>
        <v>-1.916215208644676</v>
      </c>
      <c r="G219" s="222">
        <v>6.1094831911690921</v>
      </c>
      <c r="H219" s="223">
        <f t="shared" si="40"/>
        <v>0.98877773995516627</v>
      </c>
      <c r="I219" s="222">
        <v>8.8479387249380483</v>
      </c>
      <c r="J219" s="223">
        <f t="shared" si="40"/>
        <v>2.7384555337689562</v>
      </c>
      <c r="K219" s="222">
        <v>9.0189776553412919</v>
      </c>
      <c r="L219" s="223">
        <f t="shared" si="41"/>
        <v>0.17103893040324358</v>
      </c>
      <c r="M219" s="222">
        <v>9.0743764172335606</v>
      </c>
      <c r="N219" s="223">
        <v>-0.76959821278758156</v>
      </c>
    </row>
    <row r="220" spans="2:15" ht="6" customHeight="1" x14ac:dyDescent="0.25"/>
    <row r="221" spans="2:15" x14ac:dyDescent="0.25">
      <c r="B221" s="131" t="s">
        <v>57</v>
      </c>
      <c r="C221" s="131"/>
      <c r="D221" s="131"/>
      <c r="E221" s="131"/>
      <c r="F221" s="131"/>
      <c r="G221" s="131"/>
      <c r="H221" s="131"/>
      <c r="I221" s="131"/>
      <c r="J221" s="131"/>
      <c r="K221" s="131"/>
      <c r="L221" s="131"/>
      <c r="M221" s="131"/>
      <c r="N221" s="131"/>
    </row>
    <row r="222" spans="2:15" x14ac:dyDescent="0.25">
      <c r="K222" s="151"/>
      <c r="M222" s="153"/>
    </row>
    <row r="224" spans="2:15" ht="48.75" customHeight="1" thickBot="1" x14ac:dyDescent="0.3">
      <c r="B224" s="12" t="s">
        <v>300</v>
      </c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" t="s">
        <v>126</v>
      </c>
    </row>
    <row r="225" spans="2:15" ht="10.5" customHeight="1" thickBot="1" x14ac:dyDescent="0.3">
      <c r="B225" s="132"/>
      <c r="C225" s="133"/>
      <c r="D225" s="132"/>
      <c r="E225" s="132"/>
      <c r="F225" s="132"/>
      <c r="G225" s="132"/>
      <c r="H225" s="132"/>
      <c r="I225" s="132"/>
      <c r="J225" s="132"/>
      <c r="K225" s="132"/>
      <c r="L225" s="132"/>
      <c r="M225" s="4"/>
      <c r="N225" s="4"/>
      <c r="O225" s="1" t="s">
        <v>127</v>
      </c>
    </row>
    <row r="226" spans="2:15" ht="22.5" thickTop="1" thickBot="1" x14ac:dyDescent="0.3">
      <c r="B226" s="152" t="str">
        <f>C226</f>
        <v>Bélgica</v>
      </c>
      <c r="C226" s="135" t="s">
        <v>121</v>
      </c>
      <c r="D226" s="136"/>
      <c r="E226" s="136"/>
      <c r="F226" s="136"/>
      <c r="G226" s="136"/>
      <c r="H226" s="136"/>
      <c r="I226" s="136"/>
      <c r="J226" s="136"/>
      <c r="K226" s="136"/>
      <c r="L226" s="136"/>
      <c r="M226" s="136"/>
      <c r="N226" s="136"/>
    </row>
    <row r="227" spans="2:15" ht="22.5" thickTop="1" thickBot="1" x14ac:dyDescent="0.3">
      <c r="B227" s="137"/>
      <c r="C227" s="138">
        <v>2020</v>
      </c>
      <c r="D227" s="139"/>
      <c r="E227" s="140">
        <v>2021</v>
      </c>
      <c r="F227" s="139"/>
      <c r="G227" s="140">
        <v>2022</v>
      </c>
      <c r="H227" s="139"/>
      <c r="I227" s="140">
        <v>2023</v>
      </c>
      <c r="J227" s="139"/>
      <c r="K227" s="140">
        <v>2024</v>
      </c>
      <c r="L227" s="139"/>
      <c r="M227" s="140">
        <v>2025</v>
      </c>
      <c r="N227" s="141"/>
    </row>
    <row r="228" spans="2:15" ht="16.5" thickTop="1" thickBot="1" x14ac:dyDescent="0.3">
      <c r="B228" s="109"/>
      <c r="C228" s="142" t="s">
        <v>71</v>
      </c>
      <c r="D228" s="143" t="str">
        <f>CONCATENATE("dif ",RIGHT(C227,2),"/",RIGHT(C227-1,2))</f>
        <v>dif 20/19</v>
      </c>
      <c r="E228" s="144" t="s">
        <v>71</v>
      </c>
      <c r="F228" s="143" t="str">
        <f>CONCATENATE("dif ",RIGHT(E227,2),"/",RIGHT(C227,2))</f>
        <v>dif 21/20</v>
      </c>
      <c r="G228" s="144" t="s">
        <v>71</v>
      </c>
      <c r="H228" s="143" t="str">
        <f>CONCATENATE("dif ",RIGHT(G227,2),"/",RIGHT(E227,2))</f>
        <v>dif 22/21</v>
      </c>
      <c r="I228" s="144" t="s">
        <v>71</v>
      </c>
      <c r="J228" s="143" t="str">
        <f>CONCATENATE("dif ",RIGHT(I227,2),"/",RIGHT(G227,2))</f>
        <v>dif 23/22</v>
      </c>
      <c r="K228" s="144" t="s">
        <v>71</v>
      </c>
      <c r="L228" s="143" t="str">
        <f>CONCATENATE("dif ",RIGHT(K227,2),"/",RIGHT(I227,2))</f>
        <v>dif 24/23</v>
      </c>
      <c r="M228" s="144" t="s">
        <v>71</v>
      </c>
      <c r="N228" s="143" t="str">
        <f>CONCATENATE("dif ",RIGHT(M227,2),"/",RIGHT(K227,2))</f>
        <v>dif 25/24</v>
      </c>
    </row>
    <row r="229" spans="2:15" x14ac:dyDescent="0.25">
      <c r="B229" s="145" t="s">
        <v>73</v>
      </c>
      <c r="C229" s="220">
        <v>9.319488817891374</v>
      </c>
      <c r="D229" s="221">
        <v>-1.2973942989917422</v>
      </c>
      <c r="E229" s="220">
        <v>6.3085714285714287</v>
      </c>
      <c r="F229" s="221">
        <f t="shared" ref="F229:J231" si="42">IFERROR(E229-C229,"-")</f>
        <v>-3.0109173893199452</v>
      </c>
      <c r="G229" s="220">
        <v>8.5574162679425836</v>
      </c>
      <c r="H229" s="221">
        <f t="shared" si="42"/>
        <v>2.2488448393711549</v>
      </c>
      <c r="I229" s="220">
        <v>8.6969696969696972</v>
      </c>
      <c r="J229" s="221">
        <f t="shared" si="42"/>
        <v>0.13955342902711365</v>
      </c>
      <c r="K229" s="220">
        <v>8.8498659517426272</v>
      </c>
      <c r="L229" s="221">
        <f t="shared" ref="L229:L231" si="43">IFERROR(K229-I229,"-")</f>
        <v>0.15289625477293001</v>
      </c>
      <c r="M229" s="220">
        <v>7.8496932515337425</v>
      </c>
      <c r="N229" s="221">
        <f t="shared" ref="N229:N237" si="44">IFERROR(M229-K229,"-")</f>
        <v>-1.0001727002088847</v>
      </c>
    </row>
    <row r="230" spans="2:15" x14ac:dyDescent="0.25">
      <c r="B230" s="145" t="s">
        <v>75</v>
      </c>
      <c r="C230" s="220">
        <v>6.2897196261682247</v>
      </c>
      <c r="D230" s="221">
        <v>-3.1202803738317755</v>
      </c>
      <c r="E230" s="220">
        <v>8.6111111111111107</v>
      </c>
      <c r="F230" s="221">
        <f t="shared" si="42"/>
        <v>2.3213914849428861</v>
      </c>
      <c r="G230" s="220">
        <v>5.5938303341902316</v>
      </c>
      <c r="H230" s="221">
        <f t="shared" si="42"/>
        <v>-3.0172807769208791</v>
      </c>
      <c r="I230" s="220">
        <v>7.5101123595505621</v>
      </c>
      <c r="J230" s="221">
        <f t="shared" si="42"/>
        <v>1.9162820253603305</v>
      </c>
      <c r="K230" s="220">
        <v>7.6536796536796539</v>
      </c>
      <c r="L230" s="221">
        <f t="shared" si="43"/>
        <v>0.14356729412909175</v>
      </c>
      <c r="M230" s="220">
        <v>6.2706552706552703</v>
      </c>
      <c r="N230" s="221">
        <f t="shared" si="44"/>
        <v>-1.3830243830243836</v>
      </c>
    </row>
    <row r="231" spans="2:15" x14ac:dyDescent="0.25">
      <c r="B231" s="145" t="s">
        <v>77</v>
      </c>
      <c r="C231" s="220">
        <v>7.180616740088106</v>
      </c>
      <c r="D231" s="221">
        <v>-2.0497355634349299</v>
      </c>
      <c r="E231" s="220">
        <v>5.25</v>
      </c>
      <c r="F231" s="221">
        <f t="shared" si="42"/>
        <v>-1.930616740088106</v>
      </c>
      <c r="G231" s="220">
        <v>7.1073446327683616</v>
      </c>
      <c r="H231" s="221">
        <f t="shared" si="42"/>
        <v>1.8573446327683616</v>
      </c>
      <c r="I231" s="220">
        <v>9.2798742138364787</v>
      </c>
      <c r="J231" s="221">
        <f t="shared" si="42"/>
        <v>2.1725295810681171</v>
      </c>
      <c r="K231" s="220">
        <v>7.7043918918918921</v>
      </c>
      <c r="L231" s="221">
        <f t="shared" si="43"/>
        <v>-1.5754823219445866</v>
      </c>
      <c r="M231" s="220">
        <v>7.7165354330708658</v>
      </c>
      <c r="N231" s="221">
        <f t="shared" si="44"/>
        <v>1.2143541178973649E-2</v>
      </c>
    </row>
    <row r="232" spans="2:15" x14ac:dyDescent="0.25">
      <c r="B232" s="145" t="s">
        <v>79</v>
      </c>
      <c r="C232" s="220" t="s">
        <v>252</v>
      </c>
      <c r="D232" s="221" t="s">
        <v>252</v>
      </c>
      <c r="E232" s="220">
        <v>5.2121212121212119</v>
      </c>
      <c r="F232" s="221" t="str">
        <f>IFERROR(E232-C232,"-")</f>
        <v>-</v>
      </c>
      <c r="G232" s="220">
        <v>6.235611510791367</v>
      </c>
      <c r="H232" s="221">
        <f>IFERROR(G232-E232,"-")</f>
        <v>1.0234902986701551</v>
      </c>
      <c r="I232" s="220">
        <v>7.8366197183098594</v>
      </c>
      <c r="J232" s="221">
        <f>IFERROR(I232-G232,"-")</f>
        <v>1.6010082075184924</v>
      </c>
      <c r="K232" s="220">
        <v>8.6806930693069315</v>
      </c>
      <c r="L232" s="221">
        <f>IFERROR(K232-I232,"-")</f>
        <v>0.84407335099707215</v>
      </c>
      <c r="M232" s="220">
        <v>5.963093145869947</v>
      </c>
      <c r="N232" s="221">
        <f t="shared" si="44"/>
        <v>-2.7175999234369845</v>
      </c>
    </row>
    <row r="233" spans="2:15" x14ac:dyDescent="0.25">
      <c r="B233" s="145" t="s">
        <v>81</v>
      </c>
      <c r="C233" s="220" t="s">
        <v>252</v>
      </c>
      <c r="D233" s="221" t="s">
        <v>252</v>
      </c>
      <c r="E233" s="220">
        <v>4.8250000000000002</v>
      </c>
      <c r="F233" s="221" t="str">
        <f t="shared" ref="F233:J241" si="45">IFERROR(E233-C233,"-")</f>
        <v>-</v>
      </c>
      <c r="G233" s="220">
        <v>6.1355140186915884</v>
      </c>
      <c r="H233" s="221">
        <f t="shared" si="45"/>
        <v>1.3105140186915882</v>
      </c>
      <c r="I233" s="220">
        <v>7.5637065637065639</v>
      </c>
      <c r="J233" s="221">
        <f t="shared" si="45"/>
        <v>1.4281925450149755</v>
      </c>
      <c r="K233" s="220">
        <v>8.140703517587939</v>
      </c>
      <c r="L233" s="221">
        <f t="shared" ref="L233:L241" si="46">IFERROR(K233-I233,"-")</f>
        <v>0.57699695388137506</v>
      </c>
      <c r="M233" s="220">
        <v>11.962085308056873</v>
      </c>
      <c r="N233" s="221">
        <f t="shared" si="44"/>
        <v>3.8213817904689336</v>
      </c>
    </row>
    <row r="234" spans="2:15" x14ac:dyDescent="0.25">
      <c r="B234" s="145" t="s">
        <v>83</v>
      </c>
      <c r="C234" s="220" t="s">
        <v>252</v>
      </c>
      <c r="D234" s="221" t="s">
        <v>252</v>
      </c>
      <c r="E234" s="220">
        <v>6.8023255813953485</v>
      </c>
      <c r="F234" s="221" t="str">
        <f t="shared" si="45"/>
        <v>-</v>
      </c>
      <c r="G234" s="220">
        <v>6.709677419354839</v>
      </c>
      <c r="H234" s="221">
        <f t="shared" si="45"/>
        <v>-9.2648162040509519E-2</v>
      </c>
      <c r="I234" s="220">
        <v>7.7424657534246579</v>
      </c>
      <c r="J234" s="221">
        <f t="shared" si="45"/>
        <v>1.032788334069819</v>
      </c>
      <c r="K234" s="220">
        <v>8.120075046904315</v>
      </c>
      <c r="L234" s="221">
        <f t="shared" si="46"/>
        <v>0.3776092934796571</v>
      </c>
      <c r="M234" s="220">
        <v>7.7861842105263159</v>
      </c>
      <c r="N234" s="221">
        <f t="shared" si="44"/>
        <v>-0.3338908363779991</v>
      </c>
    </row>
    <row r="235" spans="2:15" x14ac:dyDescent="0.25">
      <c r="B235" s="145" t="s">
        <v>85</v>
      </c>
      <c r="C235" s="220" t="s">
        <v>252</v>
      </c>
      <c r="D235" s="221" t="s">
        <v>252</v>
      </c>
      <c r="E235" s="220">
        <v>9.1930693069306937</v>
      </c>
      <c r="F235" s="221" t="str">
        <f t="shared" si="45"/>
        <v>-</v>
      </c>
      <c r="G235" s="220">
        <v>7.8844696969696972</v>
      </c>
      <c r="H235" s="221">
        <f t="shared" si="45"/>
        <v>-1.3085996099609964</v>
      </c>
      <c r="I235" s="220">
        <v>6.6075036075036078</v>
      </c>
      <c r="J235" s="221">
        <f t="shared" si="45"/>
        <v>-1.2769660894660895</v>
      </c>
      <c r="K235" s="220">
        <v>7.4171974522292992</v>
      </c>
      <c r="L235" s="221">
        <f t="shared" si="46"/>
        <v>0.80969384472569139</v>
      </c>
      <c r="M235" s="220">
        <v>7.7472924187725631</v>
      </c>
      <c r="N235" s="221">
        <f t="shared" si="44"/>
        <v>0.33009496654326398</v>
      </c>
    </row>
    <row r="236" spans="2:15" x14ac:dyDescent="0.25">
      <c r="B236" s="145" t="s">
        <v>87</v>
      </c>
      <c r="C236" s="220">
        <v>5.0167286245353164</v>
      </c>
      <c r="D236" s="221">
        <v>-5.0937976912541565</v>
      </c>
      <c r="E236" s="220">
        <v>4.776859504132231</v>
      </c>
      <c r="F236" s="221">
        <f t="shared" si="45"/>
        <v>-0.23986912040308539</v>
      </c>
      <c r="G236" s="220">
        <v>8.9580152671755719</v>
      </c>
      <c r="H236" s="221">
        <f t="shared" si="45"/>
        <v>4.1811557630433409</v>
      </c>
      <c r="I236" s="220">
        <v>7.5533199195171026</v>
      </c>
      <c r="J236" s="221">
        <f t="shared" si="45"/>
        <v>-1.4046953476584694</v>
      </c>
      <c r="K236" s="220">
        <v>6.4814814814814818</v>
      </c>
      <c r="L236" s="221">
        <f t="shared" si="46"/>
        <v>-1.0718384380356207</v>
      </c>
      <c r="M236" s="220">
        <v>7.8896321070234112</v>
      </c>
      <c r="N236" s="221">
        <f t="shared" si="44"/>
        <v>1.4081506255419294</v>
      </c>
    </row>
    <row r="237" spans="2:15" x14ac:dyDescent="0.25">
      <c r="B237" s="145" t="s">
        <v>89</v>
      </c>
      <c r="C237" s="220">
        <v>6.0535714285714288</v>
      </c>
      <c r="D237" s="221">
        <v>-3.185034469551896</v>
      </c>
      <c r="E237" s="220">
        <v>6.3159999999999998</v>
      </c>
      <c r="F237" s="221">
        <f t="shared" si="45"/>
        <v>0.26242857142857101</v>
      </c>
      <c r="G237" s="220">
        <v>7.1208459214501509</v>
      </c>
      <c r="H237" s="221">
        <f t="shared" si="45"/>
        <v>0.8048459214501511</v>
      </c>
      <c r="I237" s="220">
        <v>7.6696165191740411</v>
      </c>
      <c r="J237" s="221">
        <f t="shared" si="45"/>
        <v>0.54877059772389014</v>
      </c>
      <c r="K237" s="220">
        <v>7.8940092165898621</v>
      </c>
      <c r="L237" s="221">
        <f t="shared" si="46"/>
        <v>0.22439269741582102</v>
      </c>
      <c r="M237" s="220">
        <v>7.2243902439024392</v>
      </c>
      <c r="N237" s="221">
        <f t="shared" si="44"/>
        <v>-0.66961897268742288</v>
      </c>
    </row>
    <row r="238" spans="2:15" x14ac:dyDescent="0.25">
      <c r="B238" s="145" t="s">
        <v>91</v>
      </c>
      <c r="C238" s="220">
        <v>7.6309523809523814</v>
      </c>
      <c r="D238" s="221">
        <v>-1.2109593837535009</v>
      </c>
      <c r="E238" s="220">
        <v>5.9019607843137258</v>
      </c>
      <c r="F238" s="221">
        <f t="shared" si="45"/>
        <v>-1.7289915966386555</v>
      </c>
      <c r="G238" s="220">
        <v>6.3746701846965701</v>
      </c>
      <c r="H238" s="221">
        <f t="shared" si="45"/>
        <v>0.47270940038284426</v>
      </c>
      <c r="I238" s="220">
        <v>6.2601880877742948</v>
      </c>
      <c r="J238" s="221">
        <f t="shared" si="45"/>
        <v>-0.11448209692227529</v>
      </c>
      <c r="K238" s="220">
        <v>6.36</v>
      </c>
      <c r="L238" s="221">
        <f t="shared" si="46"/>
        <v>9.9811912225705512E-2</v>
      </c>
      <c r="M238" s="220"/>
      <c r="N238" s="221"/>
    </row>
    <row r="239" spans="2:15" x14ac:dyDescent="0.25">
      <c r="B239" s="145" t="s">
        <v>93</v>
      </c>
      <c r="C239" s="220">
        <v>5.4861111111111107</v>
      </c>
      <c r="D239" s="221">
        <v>-3.2607638888888886</v>
      </c>
      <c r="E239" s="220">
        <v>7.4267515923566876</v>
      </c>
      <c r="F239" s="221">
        <f t="shared" si="45"/>
        <v>1.9406404812455769</v>
      </c>
      <c r="G239" s="220">
        <v>7.4951456310679614</v>
      </c>
      <c r="H239" s="221">
        <f t="shared" si="45"/>
        <v>6.8394038711273808E-2</v>
      </c>
      <c r="I239" s="220">
        <v>7.8169336384439356</v>
      </c>
      <c r="J239" s="221">
        <f t="shared" si="45"/>
        <v>0.32178800737597424</v>
      </c>
      <c r="K239" s="220">
        <v>6.4905660377358494</v>
      </c>
      <c r="L239" s="221">
        <f t="shared" si="46"/>
        <v>-1.3263676007080862</v>
      </c>
      <c r="M239" s="220"/>
      <c r="N239" s="221"/>
    </row>
    <row r="240" spans="2:15" x14ac:dyDescent="0.25">
      <c r="B240" s="145" t="s">
        <v>95</v>
      </c>
      <c r="C240" s="220">
        <v>5.2301587301587302</v>
      </c>
      <c r="D240" s="221">
        <v>-3.5128968253968251</v>
      </c>
      <c r="E240" s="220">
        <v>5.7030965391621127</v>
      </c>
      <c r="F240" s="221">
        <f t="shared" si="45"/>
        <v>0.47293780900338245</v>
      </c>
      <c r="G240" s="220">
        <v>6.3891213389121342</v>
      </c>
      <c r="H240" s="221">
        <f t="shared" si="45"/>
        <v>0.68602479975002151</v>
      </c>
      <c r="I240" s="220">
        <v>6.9157088122605366</v>
      </c>
      <c r="J240" s="221">
        <f t="shared" si="45"/>
        <v>0.52658747334840239</v>
      </c>
      <c r="K240" s="220">
        <v>6.6901408450704229</v>
      </c>
      <c r="L240" s="221">
        <f t="shared" si="46"/>
        <v>-0.22556796719011363</v>
      </c>
      <c r="M240" s="220"/>
      <c r="N240" s="221"/>
    </row>
    <row r="241" spans="2:15" ht="15.75" x14ac:dyDescent="0.25">
      <c r="B241" s="148" t="s">
        <v>32</v>
      </c>
      <c r="C241" s="222">
        <v>6.4966408268733851</v>
      </c>
      <c r="D241" s="223">
        <v>-2.7802822500496926</v>
      </c>
      <c r="E241" s="222">
        <v>6.2224880382775121</v>
      </c>
      <c r="F241" s="223">
        <f t="shared" si="45"/>
        <v>-0.274152788595873</v>
      </c>
      <c r="G241" s="222">
        <v>7.0339242722696431</v>
      </c>
      <c r="H241" s="223">
        <f t="shared" si="45"/>
        <v>0.81143623399213105</v>
      </c>
      <c r="I241" s="222">
        <v>7.4551912568306014</v>
      </c>
      <c r="J241" s="223">
        <f t="shared" si="45"/>
        <v>0.42126698456095824</v>
      </c>
      <c r="K241" s="222">
        <v>7.5349631493798306</v>
      </c>
      <c r="L241" s="223">
        <f t="shared" si="46"/>
        <v>7.9771892549229229E-2</v>
      </c>
      <c r="M241" s="222">
        <v>7.5362499999999999</v>
      </c>
      <c r="N241" s="223">
        <v>-0.29553005591798698</v>
      </c>
    </row>
    <row r="242" spans="2:15" ht="6" customHeight="1" x14ac:dyDescent="0.25"/>
    <row r="243" spans="2:15" x14ac:dyDescent="0.25">
      <c r="B243" s="131" t="s">
        <v>57</v>
      </c>
      <c r="C243" s="131"/>
      <c r="D243" s="131"/>
      <c r="E243" s="131"/>
      <c r="F243" s="131"/>
      <c r="G243" s="131"/>
      <c r="H243" s="131"/>
      <c r="I243" s="131"/>
      <c r="J243" s="131"/>
      <c r="K243" s="131"/>
      <c r="L243" s="131"/>
      <c r="M243" s="131"/>
      <c r="N243" s="131"/>
    </row>
    <row r="244" spans="2:15" x14ac:dyDescent="0.25">
      <c r="C244" s="151"/>
      <c r="K244" s="151"/>
      <c r="M244" s="131"/>
    </row>
    <row r="246" spans="2:15" ht="48.75" customHeight="1" thickBot="1" x14ac:dyDescent="0.3">
      <c r="B246" s="12" t="s">
        <v>302</v>
      </c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" t="s">
        <v>128</v>
      </c>
    </row>
    <row r="247" spans="2:15" ht="10.5" customHeight="1" thickBot="1" x14ac:dyDescent="0.3">
      <c r="B247" s="132"/>
      <c r="C247" s="133"/>
      <c r="D247" s="132"/>
      <c r="E247" s="132"/>
      <c r="F247" s="132"/>
      <c r="G247" s="132"/>
      <c r="H247" s="132"/>
      <c r="I247" s="132"/>
      <c r="J247" s="132"/>
      <c r="K247" s="132"/>
      <c r="L247" s="132"/>
      <c r="M247" s="4"/>
      <c r="N247" s="4"/>
      <c r="O247" s="1" t="s">
        <v>129</v>
      </c>
    </row>
    <row r="248" spans="2:15" ht="22.5" thickTop="1" thickBot="1" x14ac:dyDescent="0.3">
      <c r="B248" s="152" t="str">
        <f>C248</f>
        <v>Dinamarca</v>
      </c>
      <c r="C248" s="135" t="s">
        <v>130</v>
      </c>
      <c r="D248" s="136"/>
      <c r="E248" s="136"/>
      <c r="F248" s="136"/>
      <c r="G248" s="136"/>
      <c r="H248" s="136"/>
      <c r="I248" s="136"/>
      <c r="J248" s="136"/>
      <c r="K248" s="136"/>
      <c r="L248" s="136"/>
      <c r="M248" s="136"/>
      <c r="N248" s="136"/>
    </row>
    <row r="249" spans="2:15" ht="22.5" thickTop="1" thickBot="1" x14ac:dyDescent="0.3">
      <c r="B249" s="137"/>
      <c r="C249" s="138">
        <v>2020</v>
      </c>
      <c r="D249" s="139"/>
      <c r="E249" s="140">
        <v>2021</v>
      </c>
      <c r="F249" s="139"/>
      <c r="G249" s="140">
        <v>2022</v>
      </c>
      <c r="H249" s="139"/>
      <c r="I249" s="140">
        <v>2023</v>
      </c>
      <c r="J249" s="139"/>
      <c r="K249" s="140">
        <v>2024</v>
      </c>
      <c r="L249" s="139"/>
      <c r="M249" s="140">
        <v>2025</v>
      </c>
      <c r="N249" s="141"/>
    </row>
    <row r="250" spans="2:15" ht="16.5" thickTop="1" thickBot="1" x14ac:dyDescent="0.3">
      <c r="B250" s="109"/>
      <c r="C250" s="142" t="s">
        <v>71</v>
      </c>
      <c r="D250" s="143" t="str">
        <f>CONCATENATE("dif ",RIGHT(C249,2),"/",RIGHT(C249-1,2))</f>
        <v>dif 20/19</v>
      </c>
      <c r="E250" s="144" t="s">
        <v>71</v>
      </c>
      <c r="F250" s="143" t="str">
        <f>CONCATENATE("dif ",RIGHT(E249,2),"/",RIGHT(C249,2))</f>
        <v>dif 21/20</v>
      </c>
      <c r="G250" s="144" t="s">
        <v>71</v>
      </c>
      <c r="H250" s="143" t="str">
        <f>CONCATENATE("dif ",RIGHT(G249,2),"/",RIGHT(E249,2))</f>
        <v>dif 22/21</v>
      </c>
      <c r="I250" s="144" t="s">
        <v>71</v>
      </c>
      <c r="J250" s="143" t="str">
        <f>CONCATENATE("dif ",RIGHT(I249,2),"/",RIGHT(G249,2))</f>
        <v>dif 23/22</v>
      </c>
      <c r="K250" s="144" t="s">
        <v>71</v>
      </c>
      <c r="L250" s="143" t="str">
        <f>CONCATENATE("dif ",RIGHT(K249,2),"/",RIGHT(I249,2))</f>
        <v>dif 24/23</v>
      </c>
      <c r="M250" s="144" t="s">
        <v>71</v>
      </c>
      <c r="N250" s="143" t="str">
        <f>CONCATENATE("dif ",RIGHT(M249,2),"/",RIGHT(K249,2))</f>
        <v>dif 25/24</v>
      </c>
    </row>
    <row r="251" spans="2:15" x14ac:dyDescent="0.25">
      <c r="B251" s="145" t="s">
        <v>73</v>
      </c>
      <c r="C251" s="220">
        <v>7.6333878887070377</v>
      </c>
      <c r="D251" s="221">
        <v>-0.25972375024783201</v>
      </c>
      <c r="E251" s="220">
        <v>5.2777777777777777</v>
      </c>
      <c r="F251" s="221">
        <f t="shared" ref="F251:J253" si="47">IFERROR(E251-C251,"-")</f>
        <v>-2.35561011092926</v>
      </c>
      <c r="G251" s="220">
        <v>7.3537117903930129</v>
      </c>
      <c r="H251" s="221">
        <f t="shared" si="47"/>
        <v>2.0759340126152352</v>
      </c>
      <c r="I251" s="220">
        <v>7.5425414364640888</v>
      </c>
      <c r="J251" s="221">
        <f t="shared" si="47"/>
        <v>0.18882964607107589</v>
      </c>
      <c r="K251" s="220">
        <v>8.7548701298701292</v>
      </c>
      <c r="L251" s="221">
        <f t="shared" ref="L251:L253" si="48">IFERROR(K251-I251,"-")</f>
        <v>1.2123286934060404</v>
      </c>
      <c r="M251" s="220">
        <v>7.822289156626506</v>
      </c>
      <c r="N251" s="221">
        <f t="shared" ref="N251:N259" si="49">IFERROR(M251-K251,"-")</f>
        <v>-0.93258097324362321</v>
      </c>
    </row>
    <row r="252" spans="2:15" x14ac:dyDescent="0.25">
      <c r="B252" s="145" t="s">
        <v>75</v>
      </c>
      <c r="C252" s="220">
        <v>6.9110486891385765</v>
      </c>
      <c r="D252" s="221">
        <v>-0.65821538012549308</v>
      </c>
      <c r="E252" s="220">
        <v>12</v>
      </c>
      <c r="F252" s="221">
        <f t="shared" si="47"/>
        <v>5.0889513108614235</v>
      </c>
      <c r="G252" s="220">
        <v>8.0563063063063058</v>
      </c>
      <c r="H252" s="221">
        <f t="shared" si="47"/>
        <v>-3.9436936936936942</v>
      </c>
      <c r="I252" s="220">
        <v>8.927819548872181</v>
      </c>
      <c r="J252" s="221">
        <f t="shared" si="47"/>
        <v>0.87151324256587515</v>
      </c>
      <c r="K252" s="220">
        <v>7.9670846394984327</v>
      </c>
      <c r="L252" s="221">
        <f t="shared" si="48"/>
        <v>-0.96073490937374828</v>
      </c>
      <c r="M252" s="220">
        <v>7.8127147766323022</v>
      </c>
      <c r="N252" s="221">
        <f t="shared" si="49"/>
        <v>-0.15436986286613052</v>
      </c>
    </row>
    <row r="253" spans="2:15" x14ac:dyDescent="0.25">
      <c r="B253" s="145" t="s">
        <v>77</v>
      </c>
      <c r="C253" s="220">
        <v>11.471631205673759</v>
      </c>
      <c r="D253" s="221">
        <v>3.6772589113014647</v>
      </c>
      <c r="E253" s="220">
        <v>1</v>
      </c>
      <c r="F253" s="221">
        <f t="shared" si="47"/>
        <v>-10.471631205673759</v>
      </c>
      <c r="G253" s="220">
        <v>7.788349514563107</v>
      </c>
      <c r="H253" s="221">
        <f t="shared" si="47"/>
        <v>6.788349514563107</v>
      </c>
      <c r="I253" s="220">
        <v>8.277899343544858</v>
      </c>
      <c r="J253" s="221">
        <f t="shared" si="47"/>
        <v>0.48954982898175103</v>
      </c>
      <c r="K253" s="220">
        <v>8.0641282565130261</v>
      </c>
      <c r="L253" s="221">
        <f t="shared" si="48"/>
        <v>-0.2137710870318319</v>
      </c>
      <c r="M253" s="220">
        <v>7.9</v>
      </c>
      <c r="N253" s="221">
        <f t="shared" si="49"/>
        <v>-0.16412825651302576</v>
      </c>
    </row>
    <row r="254" spans="2:15" x14ac:dyDescent="0.25">
      <c r="B254" s="145" t="s">
        <v>79</v>
      </c>
      <c r="C254" s="220" t="s">
        <v>252</v>
      </c>
      <c r="D254" s="221" t="s">
        <v>252</v>
      </c>
      <c r="E254" s="220" t="s">
        <v>252</v>
      </c>
      <c r="F254" s="221" t="str">
        <f>IFERROR(E254-C254,"-")</f>
        <v>-</v>
      </c>
      <c r="G254" s="220">
        <v>8.2225609756097562</v>
      </c>
      <c r="H254" s="221" t="str">
        <f>IFERROR(G254-E254,"-")</f>
        <v>-</v>
      </c>
      <c r="I254" s="220">
        <v>9.1930693069306937</v>
      </c>
      <c r="J254" s="221">
        <f>IFERROR(I254-G254,"-")</f>
        <v>0.9705083313209375</v>
      </c>
      <c r="K254" s="220">
        <v>7.3793103448275863</v>
      </c>
      <c r="L254" s="221">
        <f>IFERROR(K254-I254,"-")</f>
        <v>-1.8137589621031074</v>
      </c>
      <c r="M254" s="220">
        <v>8.34375</v>
      </c>
      <c r="N254" s="221">
        <f t="shared" si="49"/>
        <v>0.9644396551724137</v>
      </c>
    </row>
    <row r="255" spans="2:15" x14ac:dyDescent="0.25">
      <c r="B255" s="145" t="s">
        <v>81</v>
      </c>
      <c r="C255" s="220" t="s">
        <v>252</v>
      </c>
      <c r="D255" s="221" t="s">
        <v>252</v>
      </c>
      <c r="E255" s="220">
        <v>4.5999999999999996</v>
      </c>
      <c r="F255" s="221" t="str">
        <f t="shared" ref="F255:J263" si="50">IFERROR(E255-C255,"-")</f>
        <v>-</v>
      </c>
      <c r="G255" s="220">
        <v>4.4545454545454541</v>
      </c>
      <c r="H255" s="221">
        <f t="shared" si="50"/>
        <v>-0.1454545454545455</v>
      </c>
      <c r="I255" s="220">
        <v>5.1111111111111107</v>
      </c>
      <c r="J255" s="221">
        <f t="shared" si="50"/>
        <v>0.65656565656565657</v>
      </c>
      <c r="K255" s="220">
        <v>8.7727272727272734</v>
      </c>
      <c r="L255" s="221">
        <f t="shared" ref="L255:L263" si="51">IFERROR(K255-I255,"-")</f>
        <v>3.6616161616161627</v>
      </c>
      <c r="M255" s="220">
        <v>13.555555555555555</v>
      </c>
      <c r="N255" s="221">
        <f t="shared" si="49"/>
        <v>4.782828282828282</v>
      </c>
    </row>
    <row r="256" spans="2:15" x14ac:dyDescent="0.25">
      <c r="B256" s="145" t="s">
        <v>83</v>
      </c>
      <c r="C256" s="220" t="s">
        <v>252</v>
      </c>
      <c r="D256" s="221" t="s">
        <v>252</v>
      </c>
      <c r="E256" s="220">
        <v>10</v>
      </c>
      <c r="F256" s="221" t="str">
        <f t="shared" si="50"/>
        <v>-</v>
      </c>
      <c r="G256" s="220">
        <v>3.7391304347826089</v>
      </c>
      <c r="H256" s="221">
        <f t="shared" si="50"/>
        <v>-6.2608695652173907</v>
      </c>
      <c r="I256" s="220">
        <v>3</v>
      </c>
      <c r="J256" s="221">
        <f t="shared" si="50"/>
        <v>-0.73913043478260887</v>
      </c>
      <c r="K256" s="220">
        <v>4.666666666666667</v>
      </c>
      <c r="L256" s="221">
        <f t="shared" si="51"/>
        <v>1.666666666666667</v>
      </c>
      <c r="M256" s="220">
        <v>5.9130434782608692</v>
      </c>
      <c r="N256" s="221">
        <f t="shared" si="49"/>
        <v>1.2463768115942022</v>
      </c>
    </row>
    <row r="257" spans="2:15" x14ac:dyDescent="0.25">
      <c r="B257" s="145" t="s">
        <v>85</v>
      </c>
      <c r="C257" s="220" t="s">
        <v>252</v>
      </c>
      <c r="D257" s="221" t="s">
        <v>252</v>
      </c>
      <c r="E257" s="220">
        <v>7.9285714285714288</v>
      </c>
      <c r="F257" s="221" t="str">
        <f t="shared" si="50"/>
        <v>-</v>
      </c>
      <c r="G257" s="220">
        <v>8.5374999999999996</v>
      </c>
      <c r="H257" s="221">
        <f t="shared" si="50"/>
        <v>0.60892857142857082</v>
      </c>
      <c r="I257" s="220">
        <v>7</v>
      </c>
      <c r="J257" s="221">
        <f t="shared" si="50"/>
        <v>-1.5374999999999996</v>
      </c>
      <c r="K257" s="220">
        <v>8.4705882352941178</v>
      </c>
      <c r="L257" s="221">
        <f t="shared" si="51"/>
        <v>1.4705882352941178</v>
      </c>
      <c r="M257" s="220">
        <v>9</v>
      </c>
      <c r="N257" s="221">
        <f t="shared" si="49"/>
        <v>0.52941176470588225</v>
      </c>
    </row>
    <row r="258" spans="2:15" x14ac:dyDescent="0.25">
      <c r="B258" s="145" t="s">
        <v>87</v>
      </c>
      <c r="C258" s="220" t="s">
        <v>252</v>
      </c>
      <c r="D258" s="221" t="s">
        <v>252</v>
      </c>
      <c r="E258" s="220" t="s">
        <v>252</v>
      </c>
      <c r="F258" s="221" t="str">
        <f t="shared" si="50"/>
        <v>-</v>
      </c>
      <c r="G258" s="220">
        <v>23.428571428571427</v>
      </c>
      <c r="H258" s="221" t="str">
        <f t="shared" si="50"/>
        <v>-</v>
      </c>
      <c r="I258" s="220">
        <v>7.333333333333333</v>
      </c>
      <c r="J258" s="221">
        <f t="shared" si="50"/>
        <v>-16.095238095238095</v>
      </c>
      <c r="K258" s="220">
        <v>6.44</v>
      </c>
      <c r="L258" s="221">
        <f t="shared" si="51"/>
        <v>-0.89333333333333265</v>
      </c>
      <c r="M258" s="220">
        <v>10.363636363636363</v>
      </c>
      <c r="N258" s="221">
        <f t="shared" si="49"/>
        <v>3.9236363636363629</v>
      </c>
    </row>
    <row r="259" spans="2:15" x14ac:dyDescent="0.25">
      <c r="B259" s="145" t="s">
        <v>89</v>
      </c>
      <c r="C259" s="220">
        <v>3</v>
      </c>
      <c r="D259" s="221">
        <v>-2</v>
      </c>
      <c r="E259" s="220">
        <v>6.666666666666667</v>
      </c>
      <c r="F259" s="221">
        <f t="shared" si="50"/>
        <v>3.666666666666667</v>
      </c>
      <c r="G259" s="220">
        <v>6</v>
      </c>
      <c r="H259" s="221">
        <f t="shared" si="50"/>
        <v>-0.66666666666666696</v>
      </c>
      <c r="I259" s="220">
        <v>3.8333333333333335</v>
      </c>
      <c r="J259" s="221">
        <f t="shared" si="50"/>
        <v>-2.1666666666666665</v>
      </c>
      <c r="K259" s="220">
        <v>9.4</v>
      </c>
      <c r="L259" s="221">
        <f t="shared" si="51"/>
        <v>5.5666666666666664</v>
      </c>
      <c r="M259" s="220">
        <v>9.8235294117647065</v>
      </c>
      <c r="N259" s="221">
        <f t="shared" si="49"/>
        <v>0.42352941176470615</v>
      </c>
    </row>
    <row r="260" spans="2:15" x14ac:dyDescent="0.25">
      <c r="B260" s="145" t="s">
        <v>91</v>
      </c>
      <c r="C260" s="220">
        <v>1.5</v>
      </c>
      <c r="D260" s="221">
        <v>-5.0454545454545459</v>
      </c>
      <c r="E260" s="220">
        <v>6.0175438596491224</v>
      </c>
      <c r="F260" s="221">
        <f t="shared" si="50"/>
        <v>4.5175438596491224</v>
      </c>
      <c r="G260" s="220">
        <v>6.2674418604651159</v>
      </c>
      <c r="H260" s="221">
        <f t="shared" si="50"/>
        <v>0.24989800081599345</v>
      </c>
      <c r="I260" s="220">
        <v>7.0779220779220777</v>
      </c>
      <c r="J260" s="221">
        <f t="shared" si="50"/>
        <v>0.81048021745696186</v>
      </c>
      <c r="K260" s="220">
        <v>6.3295454545454541</v>
      </c>
      <c r="L260" s="221">
        <f t="shared" si="51"/>
        <v>-0.74837662337662358</v>
      </c>
      <c r="M260" s="220"/>
      <c r="N260" s="221"/>
    </row>
    <row r="261" spans="2:15" x14ac:dyDescent="0.25">
      <c r="B261" s="145" t="s">
        <v>93</v>
      </c>
      <c r="C261" s="220">
        <v>3.6666666666666665</v>
      </c>
      <c r="D261" s="221">
        <v>-4.2904290429042913</v>
      </c>
      <c r="E261" s="220">
        <v>6.7192374350086652</v>
      </c>
      <c r="F261" s="221">
        <f t="shared" si="50"/>
        <v>3.0525707683419987</v>
      </c>
      <c r="G261" s="220">
        <v>6.6938775510204085</v>
      </c>
      <c r="H261" s="221">
        <f t="shared" si="50"/>
        <v>-2.5359883988256726E-2</v>
      </c>
      <c r="I261" s="220">
        <v>6.2519181585677748</v>
      </c>
      <c r="J261" s="221">
        <f t="shared" si="50"/>
        <v>-0.44195939245263371</v>
      </c>
      <c r="K261" s="220">
        <v>7.6789883268482493</v>
      </c>
      <c r="L261" s="221">
        <f t="shared" si="51"/>
        <v>1.4270701682804745</v>
      </c>
      <c r="M261" s="220"/>
      <c r="N261" s="221"/>
    </row>
    <row r="262" spans="2:15" x14ac:dyDescent="0.25">
      <c r="B262" s="145" t="s">
        <v>95</v>
      </c>
      <c r="C262" s="220">
        <v>8.5</v>
      </c>
      <c r="D262" s="221">
        <v>0.70376175548589348</v>
      </c>
      <c r="E262" s="220">
        <v>7.9391480730223121</v>
      </c>
      <c r="F262" s="221">
        <f t="shared" si="50"/>
        <v>-0.56085192697768793</v>
      </c>
      <c r="G262" s="220">
        <v>7.3633093525179856</v>
      </c>
      <c r="H262" s="221">
        <f t="shared" si="50"/>
        <v>-0.5758387205043265</v>
      </c>
      <c r="I262" s="220">
        <v>7.2767857142857144</v>
      </c>
      <c r="J262" s="221">
        <f t="shared" si="50"/>
        <v>-8.6523638232271161E-2</v>
      </c>
      <c r="K262" s="220">
        <v>7.2662721893491122</v>
      </c>
      <c r="L262" s="221">
        <f t="shared" si="51"/>
        <v>-1.0513524936602181E-2</v>
      </c>
      <c r="M262" s="220"/>
      <c r="N262" s="221"/>
    </row>
    <row r="263" spans="2:15" ht="15.75" x14ac:dyDescent="0.25">
      <c r="B263" s="148" t="s">
        <v>32</v>
      </c>
      <c r="C263" s="222">
        <v>7.7675593734209194</v>
      </c>
      <c r="D263" s="223">
        <v>7.3572552992583695E-2</v>
      </c>
      <c r="E263" s="222">
        <v>7.0028129395218004</v>
      </c>
      <c r="F263" s="223">
        <f t="shared" si="50"/>
        <v>-0.764746433899119</v>
      </c>
      <c r="G263" s="222">
        <v>7.4280986762936223</v>
      </c>
      <c r="H263" s="223">
        <f t="shared" si="50"/>
        <v>0.42528573677182191</v>
      </c>
      <c r="I263" s="222">
        <v>7.6280140883229475</v>
      </c>
      <c r="J263" s="223">
        <f t="shared" si="50"/>
        <v>0.19991541202932517</v>
      </c>
      <c r="K263" s="222">
        <v>7.8162845385067605</v>
      </c>
      <c r="L263" s="223">
        <f t="shared" si="51"/>
        <v>0.18827045018381305</v>
      </c>
      <c r="M263" s="222">
        <v>7.9717102443206169</v>
      </c>
      <c r="N263" s="223">
        <v>-0.19037227041415683</v>
      </c>
    </row>
    <row r="264" spans="2:15" ht="6" customHeight="1" x14ac:dyDescent="0.25"/>
    <row r="265" spans="2:15" x14ac:dyDescent="0.25">
      <c r="B265" s="131" t="s">
        <v>57</v>
      </c>
      <c r="C265" s="131"/>
      <c r="D265" s="131"/>
      <c r="E265" s="131"/>
      <c r="F265" s="131"/>
      <c r="G265" s="131"/>
      <c r="H265" s="131"/>
      <c r="I265" s="131"/>
      <c r="J265" s="131"/>
      <c r="K265" s="131"/>
      <c r="L265" s="131"/>
      <c r="M265" s="131"/>
      <c r="N265" s="131"/>
    </row>
    <row r="266" spans="2:15" x14ac:dyDescent="0.25">
      <c r="K266" s="151"/>
    </row>
    <row r="268" spans="2:15" ht="48.75" customHeight="1" thickBot="1" x14ac:dyDescent="0.3">
      <c r="B268" s="12" t="s">
        <v>303</v>
      </c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" t="s">
        <v>131</v>
      </c>
    </row>
    <row r="269" spans="2:15" ht="10.5" customHeight="1" thickBot="1" x14ac:dyDescent="0.3">
      <c r="B269" s="132"/>
      <c r="C269" s="133"/>
      <c r="D269" s="132"/>
      <c r="E269" s="132"/>
      <c r="F269" s="132"/>
      <c r="G269" s="132"/>
      <c r="H269" s="132"/>
      <c r="I269" s="132"/>
      <c r="J269" s="132"/>
      <c r="K269" s="132"/>
      <c r="L269" s="132"/>
      <c r="M269" s="4"/>
      <c r="N269" s="4"/>
      <c r="O269" s="1" t="s">
        <v>132</v>
      </c>
    </row>
    <row r="270" spans="2:15" ht="22.5" thickTop="1" thickBot="1" x14ac:dyDescent="0.3">
      <c r="B270" s="152" t="str">
        <f>C270</f>
        <v>Suecia</v>
      </c>
      <c r="C270" s="135" t="s">
        <v>133</v>
      </c>
      <c r="D270" s="136"/>
      <c r="E270" s="136"/>
      <c r="F270" s="136"/>
      <c r="G270" s="136"/>
      <c r="H270" s="136"/>
      <c r="I270" s="136"/>
      <c r="J270" s="136"/>
      <c r="K270" s="136"/>
      <c r="L270" s="136"/>
      <c r="M270" s="136"/>
      <c r="N270" s="136"/>
    </row>
    <row r="271" spans="2:15" ht="22.5" thickTop="1" thickBot="1" x14ac:dyDescent="0.3">
      <c r="B271" s="137"/>
      <c r="C271" s="138">
        <v>2020</v>
      </c>
      <c r="D271" s="139"/>
      <c r="E271" s="140">
        <v>2021</v>
      </c>
      <c r="F271" s="139"/>
      <c r="G271" s="140">
        <v>2022</v>
      </c>
      <c r="H271" s="139"/>
      <c r="I271" s="140">
        <v>2023</v>
      </c>
      <c r="J271" s="139"/>
      <c r="K271" s="140">
        <v>2024</v>
      </c>
      <c r="L271" s="139"/>
      <c r="M271" s="140">
        <v>2025</v>
      </c>
      <c r="N271" s="141"/>
    </row>
    <row r="272" spans="2:15" ht="16.5" thickTop="1" thickBot="1" x14ac:dyDescent="0.3">
      <c r="B272" s="109"/>
      <c r="C272" s="142" t="s">
        <v>71</v>
      </c>
      <c r="D272" s="143" t="str">
        <f>CONCATENATE("dif ",RIGHT(C271,2),"/",RIGHT(C271-1,2))</f>
        <v>dif 20/19</v>
      </c>
      <c r="E272" s="144" t="s">
        <v>71</v>
      </c>
      <c r="F272" s="143" t="str">
        <f>CONCATENATE("dif ",RIGHT(E271,2),"/",RIGHT(C271,2))</f>
        <v>dif 21/20</v>
      </c>
      <c r="G272" s="144" t="s">
        <v>71</v>
      </c>
      <c r="H272" s="143" t="str">
        <f>CONCATENATE("dif ",RIGHT(G271,2),"/",RIGHT(E271,2))</f>
        <v>dif 22/21</v>
      </c>
      <c r="I272" s="144" t="s">
        <v>71</v>
      </c>
      <c r="J272" s="143" t="str">
        <f>CONCATENATE("dif ",RIGHT(I271,2),"/",RIGHT(G271,2))</f>
        <v>dif 23/22</v>
      </c>
      <c r="K272" s="144" t="s">
        <v>71</v>
      </c>
      <c r="L272" s="143" t="str">
        <f>CONCATENATE("dif ",RIGHT(K271,2),"/",RIGHT(I271,2))</f>
        <v>dif 24/23</v>
      </c>
      <c r="M272" s="144" t="s">
        <v>71</v>
      </c>
      <c r="N272" s="143" t="str">
        <f>CONCATENATE("dif ",RIGHT(M271,2),"/",RIGHT(K271,2))</f>
        <v>dif 25/24</v>
      </c>
    </row>
    <row r="273" spans="2:14" x14ac:dyDescent="0.25">
      <c r="B273" s="145" t="s">
        <v>73</v>
      </c>
      <c r="C273" s="220">
        <v>7.4640423921271761</v>
      </c>
      <c r="D273" s="221">
        <v>-0.33234936045014329</v>
      </c>
      <c r="E273" s="220">
        <v>7.625</v>
      </c>
      <c r="F273" s="221">
        <f t="shared" ref="F273:J275" si="52">IFERROR(E273-C273,"-")</f>
        <v>0.16095760787282387</v>
      </c>
      <c r="G273" s="220">
        <v>7.1120689655172411</v>
      </c>
      <c r="H273" s="221">
        <f t="shared" si="52"/>
        <v>-0.5129310344827589</v>
      </c>
      <c r="I273" s="220">
        <v>7.5795454545454541</v>
      </c>
      <c r="J273" s="221">
        <f t="shared" si="52"/>
        <v>0.46747648902821304</v>
      </c>
      <c r="K273" s="220">
        <v>6.8472505091649696</v>
      </c>
      <c r="L273" s="221">
        <f t="shared" ref="L273:L275" si="53">IFERROR(K273-I273,"-")</f>
        <v>-0.73229494538048456</v>
      </c>
      <c r="M273" s="220">
        <v>7.7660818713450288</v>
      </c>
      <c r="N273" s="221">
        <f t="shared" ref="N273:N281" si="54">IFERROR(M273-K273,"-")</f>
        <v>0.91883136218005923</v>
      </c>
    </row>
    <row r="274" spans="2:14" x14ac:dyDescent="0.25">
      <c r="B274" s="145" t="s">
        <v>75</v>
      </c>
      <c r="C274" s="220">
        <v>6.8924930491195555</v>
      </c>
      <c r="D274" s="221">
        <v>-0.68174666465504163</v>
      </c>
      <c r="E274" s="220">
        <v>3.1818181818181817</v>
      </c>
      <c r="F274" s="221">
        <f t="shared" si="52"/>
        <v>-3.7106748673013739</v>
      </c>
      <c r="G274" s="220">
        <v>5.7731958762886597</v>
      </c>
      <c r="H274" s="221">
        <f t="shared" si="52"/>
        <v>2.5913776944704781</v>
      </c>
      <c r="I274" s="220">
        <v>7.9409190371991247</v>
      </c>
      <c r="J274" s="221">
        <f t="shared" si="52"/>
        <v>2.167723160910465</v>
      </c>
      <c r="K274" s="220">
        <v>7.9557739557739557</v>
      </c>
      <c r="L274" s="221">
        <f t="shared" si="53"/>
        <v>1.4854918574831011E-2</v>
      </c>
      <c r="M274" s="220">
        <v>8.9305555555555554</v>
      </c>
      <c r="N274" s="221">
        <f t="shared" si="54"/>
        <v>0.97478159978159962</v>
      </c>
    </row>
    <row r="275" spans="2:14" x14ac:dyDescent="0.25">
      <c r="B275" s="145" t="s">
        <v>77</v>
      </c>
      <c r="C275" s="220">
        <v>8.9118942731277535</v>
      </c>
      <c r="D275" s="221">
        <v>1.3743332975179978</v>
      </c>
      <c r="E275" s="220">
        <v>4.2666666666666666</v>
      </c>
      <c r="F275" s="221">
        <f t="shared" si="52"/>
        <v>-4.6452276064610869</v>
      </c>
      <c r="G275" s="220">
        <v>8.4865900383141764</v>
      </c>
      <c r="H275" s="221">
        <f t="shared" si="52"/>
        <v>4.2199233716475097</v>
      </c>
      <c r="I275" s="220">
        <v>8.3464285714285715</v>
      </c>
      <c r="J275" s="221">
        <f t="shared" si="52"/>
        <v>-0.14016146688560482</v>
      </c>
      <c r="K275" s="220">
        <v>6.3968609865470851</v>
      </c>
      <c r="L275" s="221">
        <f t="shared" si="53"/>
        <v>-1.9495675848814864</v>
      </c>
      <c r="M275" s="220">
        <v>7.2537764350453173</v>
      </c>
      <c r="N275" s="221">
        <f t="shared" si="54"/>
        <v>0.8569154484982322</v>
      </c>
    </row>
    <row r="276" spans="2:14" x14ac:dyDescent="0.25">
      <c r="B276" s="145" t="s">
        <v>79</v>
      </c>
      <c r="C276" s="220" t="s">
        <v>252</v>
      </c>
      <c r="D276" s="221" t="s">
        <v>252</v>
      </c>
      <c r="E276" s="220" t="s">
        <v>252</v>
      </c>
      <c r="F276" s="221" t="str">
        <f>IFERROR(E276-C276,"-")</f>
        <v>-</v>
      </c>
      <c r="G276" s="220">
        <v>7.2406417112299462</v>
      </c>
      <c r="H276" s="221" t="str">
        <f>IFERROR(G276-E276,"-")</f>
        <v>-</v>
      </c>
      <c r="I276" s="220">
        <v>8.6014234875444835</v>
      </c>
      <c r="J276" s="221">
        <f>IFERROR(I276-G276,"-")</f>
        <v>1.3607817763145373</v>
      </c>
      <c r="K276" s="220">
        <v>9.5833333333333339</v>
      </c>
      <c r="L276" s="221">
        <f>IFERROR(K276-I276,"-")</f>
        <v>0.98190984578885043</v>
      </c>
      <c r="M276" s="220">
        <v>9.4421052631578952</v>
      </c>
      <c r="N276" s="221">
        <f t="shared" si="54"/>
        <v>-0.1412280701754387</v>
      </c>
    </row>
    <row r="277" spans="2:14" x14ac:dyDescent="0.25">
      <c r="B277" s="145" t="s">
        <v>81</v>
      </c>
      <c r="C277" s="220" t="s">
        <v>252</v>
      </c>
      <c r="D277" s="221" t="s">
        <v>252</v>
      </c>
      <c r="E277" s="220">
        <v>3.6666666666666665</v>
      </c>
      <c r="F277" s="221" t="str">
        <f t="shared" ref="F277:J285" si="55">IFERROR(E277-C277,"-")</f>
        <v>-</v>
      </c>
      <c r="G277" s="220">
        <v>6</v>
      </c>
      <c r="H277" s="221">
        <f t="shared" si="55"/>
        <v>2.3333333333333335</v>
      </c>
      <c r="I277" s="220">
        <v>4.75</v>
      </c>
      <c r="J277" s="221">
        <f t="shared" si="55"/>
        <v>-1.25</v>
      </c>
      <c r="K277" s="220">
        <v>5.0714285714285712</v>
      </c>
      <c r="L277" s="221">
        <f t="shared" ref="L277:L285" si="56">IFERROR(K277-I277,"-")</f>
        <v>0.32142857142857117</v>
      </c>
      <c r="M277" s="220">
        <v>5.6428571428571432</v>
      </c>
      <c r="N277" s="221">
        <f t="shared" si="54"/>
        <v>0.57142857142857206</v>
      </c>
    </row>
    <row r="278" spans="2:14" x14ac:dyDescent="0.25">
      <c r="B278" s="145" t="s">
        <v>83</v>
      </c>
      <c r="C278" s="220" t="s">
        <v>252</v>
      </c>
      <c r="D278" s="221" t="s">
        <v>252</v>
      </c>
      <c r="E278" s="220">
        <v>2.75</v>
      </c>
      <c r="F278" s="221" t="str">
        <f t="shared" si="55"/>
        <v>-</v>
      </c>
      <c r="G278" s="220">
        <v>3.8333333333333335</v>
      </c>
      <c r="H278" s="221">
        <f t="shared" si="55"/>
        <v>1.0833333333333335</v>
      </c>
      <c r="I278" s="220">
        <v>3.8181818181818183</v>
      </c>
      <c r="J278" s="221">
        <f t="shared" si="55"/>
        <v>-1.5151515151515138E-2</v>
      </c>
      <c r="K278" s="220">
        <v>4.8</v>
      </c>
      <c r="L278" s="221">
        <f t="shared" si="56"/>
        <v>0.98181818181818148</v>
      </c>
      <c r="M278" s="220">
        <v>7.2173913043478262</v>
      </c>
      <c r="N278" s="221">
        <f t="shared" si="54"/>
        <v>2.4173913043478263</v>
      </c>
    </row>
    <row r="279" spans="2:14" x14ac:dyDescent="0.25">
      <c r="B279" s="145" t="s">
        <v>85</v>
      </c>
      <c r="C279" s="220" t="s">
        <v>252</v>
      </c>
      <c r="D279" s="221" t="s">
        <v>252</v>
      </c>
      <c r="E279" s="220">
        <v>2</v>
      </c>
      <c r="F279" s="221" t="str">
        <f t="shared" si="55"/>
        <v>-</v>
      </c>
      <c r="G279" s="220">
        <v>3.4827586206896552</v>
      </c>
      <c r="H279" s="221">
        <f t="shared" si="55"/>
        <v>1.4827586206896552</v>
      </c>
      <c r="I279" s="220">
        <v>8.615384615384615</v>
      </c>
      <c r="J279" s="221">
        <f t="shared" si="55"/>
        <v>5.1326259946949602</v>
      </c>
      <c r="K279" s="220">
        <v>5.84</v>
      </c>
      <c r="L279" s="221">
        <f t="shared" si="56"/>
        <v>-2.7753846153846151</v>
      </c>
      <c r="M279" s="220">
        <v>6.44</v>
      </c>
      <c r="N279" s="221">
        <f t="shared" si="54"/>
        <v>0.60000000000000053</v>
      </c>
    </row>
    <row r="280" spans="2:14" x14ac:dyDescent="0.25">
      <c r="B280" s="145" t="s">
        <v>87</v>
      </c>
      <c r="C280" s="220">
        <v>5.666666666666667</v>
      </c>
      <c r="D280" s="221">
        <v>-8.1794871794871788</v>
      </c>
      <c r="E280" s="220" t="s">
        <v>252</v>
      </c>
      <c r="F280" s="221" t="str">
        <f t="shared" si="55"/>
        <v>-</v>
      </c>
      <c r="G280" s="220">
        <v>11.222222222222221</v>
      </c>
      <c r="H280" s="221" t="str">
        <f t="shared" si="55"/>
        <v>-</v>
      </c>
      <c r="I280" s="220">
        <v>5.875</v>
      </c>
      <c r="J280" s="221">
        <f t="shared" si="55"/>
        <v>-5.3472222222222214</v>
      </c>
      <c r="K280" s="220">
        <v>1</v>
      </c>
      <c r="L280" s="221">
        <f t="shared" si="56"/>
        <v>-4.875</v>
      </c>
      <c r="M280" s="220">
        <v>9.5</v>
      </c>
      <c r="N280" s="221">
        <f t="shared" si="54"/>
        <v>8.5</v>
      </c>
    </row>
    <row r="281" spans="2:14" x14ac:dyDescent="0.25">
      <c r="B281" s="145" t="s">
        <v>89</v>
      </c>
      <c r="C281" s="220" t="s">
        <v>252</v>
      </c>
      <c r="D281" s="221" t="s">
        <v>252</v>
      </c>
      <c r="E281" s="220" t="s">
        <v>252</v>
      </c>
      <c r="F281" s="221" t="str">
        <f t="shared" si="55"/>
        <v>-</v>
      </c>
      <c r="G281" s="220" t="s">
        <v>252</v>
      </c>
      <c r="H281" s="221" t="str">
        <f t="shared" si="55"/>
        <v>-</v>
      </c>
      <c r="I281" s="220">
        <v>4.8181818181818183</v>
      </c>
      <c r="J281" s="221" t="str">
        <f t="shared" si="55"/>
        <v>-</v>
      </c>
      <c r="K281" s="220">
        <v>8.5</v>
      </c>
      <c r="L281" s="221">
        <f t="shared" si="56"/>
        <v>3.6818181818181817</v>
      </c>
      <c r="M281" s="220">
        <v>3.7142857142857144</v>
      </c>
      <c r="N281" s="221">
        <f t="shared" si="54"/>
        <v>-4.7857142857142856</v>
      </c>
    </row>
    <row r="282" spans="2:14" x14ac:dyDescent="0.25">
      <c r="B282" s="145" t="s">
        <v>91</v>
      </c>
      <c r="C282" s="220">
        <v>5.807017543859649</v>
      </c>
      <c r="D282" s="221">
        <v>0.18158799059504371</v>
      </c>
      <c r="E282" s="220">
        <v>3.140845070422535</v>
      </c>
      <c r="F282" s="221">
        <f t="shared" si="55"/>
        <v>-2.6661724734371139</v>
      </c>
      <c r="G282" s="220">
        <v>4.0529801324503314</v>
      </c>
      <c r="H282" s="221">
        <f t="shared" si="55"/>
        <v>0.91213506202779637</v>
      </c>
      <c r="I282" s="220">
        <v>4.2424242424242422</v>
      </c>
      <c r="J282" s="221">
        <f t="shared" si="55"/>
        <v>0.18944410997391081</v>
      </c>
      <c r="K282" s="220">
        <v>4.9301310043668121</v>
      </c>
      <c r="L282" s="221">
        <f t="shared" si="56"/>
        <v>0.68770676194256986</v>
      </c>
      <c r="M282" s="220"/>
      <c r="N282" s="221"/>
    </row>
    <row r="283" spans="2:14" x14ac:dyDescent="0.25">
      <c r="B283" s="145" t="s">
        <v>93</v>
      </c>
      <c r="C283" s="220">
        <v>8.5714285714285712</v>
      </c>
      <c r="D283" s="221">
        <v>0.37586142670888378</v>
      </c>
      <c r="E283" s="220">
        <v>7.8885941644562338</v>
      </c>
      <c r="F283" s="221">
        <f t="shared" si="55"/>
        <v>-0.68283440697233733</v>
      </c>
      <c r="G283" s="220">
        <v>7.0791366906474824</v>
      </c>
      <c r="H283" s="221">
        <f t="shared" si="55"/>
        <v>-0.80945747380875144</v>
      </c>
      <c r="I283" s="220">
        <v>7.3499079189686922</v>
      </c>
      <c r="J283" s="221">
        <f t="shared" si="55"/>
        <v>0.27077122832120981</v>
      </c>
      <c r="K283" s="220">
        <v>6.8747591522158</v>
      </c>
      <c r="L283" s="221">
        <f t="shared" si="56"/>
        <v>-0.47514876675289219</v>
      </c>
      <c r="M283" s="220"/>
      <c r="N283" s="221"/>
    </row>
    <row r="284" spans="2:14" x14ac:dyDescent="0.25">
      <c r="B284" s="145" t="s">
        <v>95</v>
      </c>
      <c r="C284" s="220">
        <v>4.583333333333333</v>
      </c>
      <c r="D284" s="221">
        <v>-2.1572431633407243</v>
      </c>
      <c r="E284" s="220">
        <v>7.285333333333333</v>
      </c>
      <c r="F284" s="221">
        <f t="shared" si="55"/>
        <v>2.702</v>
      </c>
      <c r="G284" s="220">
        <v>6.9846153846153847</v>
      </c>
      <c r="H284" s="221">
        <f t="shared" si="55"/>
        <v>-0.30071794871794832</v>
      </c>
      <c r="I284" s="220">
        <v>6.8734622144112478</v>
      </c>
      <c r="J284" s="221">
        <f t="shared" si="55"/>
        <v>-0.11115317020413684</v>
      </c>
      <c r="K284" s="220">
        <v>7.6053719008264462</v>
      </c>
      <c r="L284" s="221">
        <f t="shared" si="56"/>
        <v>0.73190968641519838</v>
      </c>
      <c r="M284" s="220"/>
      <c r="N284" s="221"/>
    </row>
    <row r="285" spans="2:14" ht="15.75" x14ac:dyDescent="0.25">
      <c r="B285" s="148" t="s">
        <v>32</v>
      </c>
      <c r="C285" s="222">
        <v>7.288641975308642</v>
      </c>
      <c r="D285" s="223">
        <v>-0.40819133123371465</v>
      </c>
      <c r="E285" s="222">
        <v>6.7138331573389651</v>
      </c>
      <c r="F285" s="223">
        <f t="shared" si="55"/>
        <v>-0.57480881796967687</v>
      </c>
      <c r="G285" s="222">
        <v>6.860990860990861</v>
      </c>
      <c r="H285" s="223">
        <f t="shared" si="55"/>
        <v>0.14715770365189584</v>
      </c>
      <c r="I285" s="222">
        <v>7.4090121317157713</v>
      </c>
      <c r="J285" s="223">
        <f t="shared" si="55"/>
        <v>0.54802127072491036</v>
      </c>
      <c r="K285" s="222">
        <v>6.9926766752105456</v>
      </c>
      <c r="L285" s="223">
        <f t="shared" si="56"/>
        <v>-0.41633545650522574</v>
      </c>
      <c r="M285" s="222">
        <v>7.973521624007061</v>
      </c>
      <c r="N285" s="223">
        <v>0.82275444588831537</v>
      </c>
    </row>
    <row r="286" spans="2:14" ht="6" customHeight="1" x14ac:dyDescent="0.25"/>
    <row r="287" spans="2:14" x14ac:dyDescent="0.25">
      <c r="B287" s="131" t="s">
        <v>57</v>
      </c>
      <c r="C287" s="131"/>
      <c r="D287" s="131"/>
      <c r="E287" s="131"/>
      <c r="F287" s="131"/>
      <c r="G287" s="131"/>
      <c r="H287" s="131"/>
      <c r="I287" s="131"/>
      <c r="J287" s="131"/>
      <c r="K287" s="131"/>
      <c r="L287" s="131"/>
      <c r="M287" s="131"/>
      <c r="N287" s="131"/>
    </row>
    <row r="288" spans="2:14" x14ac:dyDescent="0.25">
      <c r="C288" s="151"/>
      <c r="K288" s="151"/>
      <c r="N288" s="103"/>
    </row>
    <row r="290" spans="3:13" x14ac:dyDescent="0.25">
      <c r="C290" s="103"/>
      <c r="E290" s="103"/>
      <c r="G290" s="103"/>
      <c r="I290" s="103"/>
      <c r="K290" s="103"/>
      <c r="M290" s="103"/>
    </row>
  </sheetData>
  <mergeCells count="104">
    <mergeCell ref="B268:N268"/>
    <mergeCell ref="C270:N270"/>
    <mergeCell ref="C271:D271"/>
    <mergeCell ref="E271:F271"/>
    <mergeCell ref="G271:H271"/>
    <mergeCell ref="I271:J271"/>
    <mergeCell ref="K271:L271"/>
    <mergeCell ref="M271:N271"/>
    <mergeCell ref="B246:N246"/>
    <mergeCell ref="C248:N248"/>
    <mergeCell ref="C249:D249"/>
    <mergeCell ref="E249:F249"/>
    <mergeCell ref="G249:H249"/>
    <mergeCell ref="I249:J249"/>
    <mergeCell ref="K249:L249"/>
    <mergeCell ref="M249:N249"/>
    <mergeCell ref="B224:N224"/>
    <mergeCell ref="C226:N226"/>
    <mergeCell ref="C227:D227"/>
    <mergeCell ref="E227:F227"/>
    <mergeCell ref="G227:H227"/>
    <mergeCell ref="I227:J227"/>
    <mergeCell ref="K227:L227"/>
    <mergeCell ref="M227:N227"/>
    <mergeCell ref="B202:N202"/>
    <mergeCell ref="C204:N204"/>
    <mergeCell ref="C205:D205"/>
    <mergeCell ref="E205:F205"/>
    <mergeCell ref="G205:H205"/>
    <mergeCell ref="I205:J205"/>
    <mergeCell ref="K205:L205"/>
    <mergeCell ref="M205:N205"/>
    <mergeCell ref="B180:N180"/>
    <mergeCell ref="C182:N182"/>
    <mergeCell ref="C183:D183"/>
    <mergeCell ref="E183:F183"/>
    <mergeCell ref="G183:H183"/>
    <mergeCell ref="I183:J183"/>
    <mergeCell ref="K183:L183"/>
    <mergeCell ref="M183:N183"/>
    <mergeCell ref="B158:N158"/>
    <mergeCell ref="C160:N160"/>
    <mergeCell ref="C161:D161"/>
    <mergeCell ref="E161:F161"/>
    <mergeCell ref="G161:H161"/>
    <mergeCell ref="I161:J161"/>
    <mergeCell ref="K161:L161"/>
    <mergeCell ref="M161:N161"/>
    <mergeCell ref="B136:N136"/>
    <mergeCell ref="C138:N138"/>
    <mergeCell ref="C139:D139"/>
    <mergeCell ref="E139:F139"/>
    <mergeCell ref="G139:H139"/>
    <mergeCell ref="I139:J139"/>
    <mergeCell ref="K139:L139"/>
    <mergeCell ref="M139:N139"/>
    <mergeCell ref="B114:N114"/>
    <mergeCell ref="C116:N116"/>
    <mergeCell ref="C117:D117"/>
    <mergeCell ref="E117:F117"/>
    <mergeCell ref="G117:H117"/>
    <mergeCell ref="I117:J117"/>
    <mergeCell ref="K117:L117"/>
    <mergeCell ref="M117:N117"/>
    <mergeCell ref="B92:N92"/>
    <mergeCell ref="C94:N94"/>
    <mergeCell ref="C95:D95"/>
    <mergeCell ref="E95:F95"/>
    <mergeCell ref="G95:H95"/>
    <mergeCell ref="I95:J95"/>
    <mergeCell ref="K95:L95"/>
    <mergeCell ref="M95:N95"/>
    <mergeCell ref="B70:N70"/>
    <mergeCell ref="C72:N72"/>
    <mergeCell ref="C73:D73"/>
    <mergeCell ref="E73:F73"/>
    <mergeCell ref="G73:H73"/>
    <mergeCell ref="I73:J73"/>
    <mergeCell ref="K73:L73"/>
    <mergeCell ref="M73:N73"/>
    <mergeCell ref="B48:N48"/>
    <mergeCell ref="C50:N50"/>
    <mergeCell ref="C51:D51"/>
    <mergeCell ref="E51:F51"/>
    <mergeCell ref="G51:H51"/>
    <mergeCell ref="I51:J51"/>
    <mergeCell ref="K51:L51"/>
    <mergeCell ref="M51:N51"/>
    <mergeCell ref="B26:N26"/>
    <mergeCell ref="C28:N28"/>
    <mergeCell ref="C29:D29"/>
    <mergeCell ref="E29:F29"/>
    <mergeCell ref="G29:H29"/>
    <mergeCell ref="I29:J29"/>
    <mergeCell ref="K29:L29"/>
    <mergeCell ref="M29:N29"/>
    <mergeCell ref="B4:N4"/>
    <mergeCell ref="C6:N6"/>
    <mergeCell ref="C7:D7"/>
    <mergeCell ref="E7:F7"/>
    <mergeCell ref="G7:H7"/>
    <mergeCell ref="I7:J7"/>
    <mergeCell ref="K7:L7"/>
    <mergeCell ref="M7:N7"/>
  </mergeCells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E6AD0-DFA0-4162-8DE7-EED3A278E0D4}">
  <sheetPr>
    <tabColor theme="4" tint="0.79998168889431442"/>
  </sheetPr>
  <dimension ref="A4:O111"/>
  <sheetViews>
    <sheetView showGridLines="0" zoomScaleNormal="100" workbookViewId="0">
      <selection activeCell="G10" sqref="G10"/>
    </sheetView>
  </sheetViews>
  <sheetFormatPr baseColWidth="10" defaultColWidth="11.42578125" defaultRowHeight="15" x14ac:dyDescent="0.25"/>
  <cols>
    <col min="1" max="1" width="15.28515625" customWidth="1"/>
    <col min="3" max="13" width="11.42578125" style="227"/>
    <col min="14" max="14" width="13.5703125" style="227" bestFit="1" customWidth="1"/>
  </cols>
  <sheetData>
    <row r="4" spans="1:15" ht="48.75" customHeight="1" thickBot="1" x14ac:dyDescent="0.3">
      <c r="B4" s="12" t="s">
        <v>292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" t="s">
        <v>68</v>
      </c>
    </row>
    <row r="5" spans="1:15" ht="10.5" customHeight="1" thickBot="1" x14ac:dyDescent="0.3">
      <c r="B5" s="132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48"/>
      <c r="N5" s="48"/>
      <c r="O5" s="1" t="s">
        <v>69</v>
      </c>
    </row>
    <row r="6" spans="1:15" ht="22.5" thickTop="1" thickBot="1" x14ac:dyDescent="0.3">
      <c r="B6" s="134" t="s">
        <v>32</v>
      </c>
      <c r="C6" s="225" t="s">
        <v>134</v>
      </c>
      <c r="D6" s="226"/>
      <c r="E6" s="226"/>
      <c r="F6" s="226"/>
      <c r="G6" s="226"/>
      <c r="H6" s="226"/>
      <c r="I6" s="226"/>
      <c r="J6" s="226"/>
      <c r="K6" s="226"/>
      <c r="L6" s="226"/>
      <c r="M6" s="226"/>
      <c r="N6" s="226"/>
    </row>
    <row r="7" spans="1:15" ht="22.5" thickTop="1" thickBot="1" x14ac:dyDescent="0.3">
      <c r="B7" s="137"/>
      <c r="C7" s="138">
        <v>2020</v>
      </c>
      <c r="D7" s="139"/>
      <c r="E7" s="140">
        <v>2021</v>
      </c>
      <c r="F7" s="139"/>
      <c r="G7" s="140">
        <v>2022</v>
      </c>
      <c r="H7" s="139"/>
      <c r="I7" s="140">
        <v>2023</v>
      </c>
      <c r="J7" s="139"/>
      <c r="K7" s="140">
        <v>2024</v>
      </c>
      <c r="L7" s="139"/>
      <c r="M7" s="140">
        <v>2025</v>
      </c>
      <c r="N7" s="141"/>
    </row>
    <row r="8" spans="1:15" ht="16.5" thickTop="1" thickBot="1" x14ac:dyDescent="0.3">
      <c r="B8" s="109"/>
      <c r="C8" s="142" t="s">
        <v>71</v>
      </c>
      <c r="D8" s="143" t="str">
        <f>CONCATENATE("dif ",RIGHT(C7,2),"/",RIGHT(C7-1,2))</f>
        <v>dif 20/19</v>
      </c>
      <c r="E8" s="144" t="s">
        <v>71</v>
      </c>
      <c r="F8" s="143" t="str">
        <f>CONCATENATE("dif ",RIGHT(E7,2),"/",RIGHT(C7,2))</f>
        <v>dif 21/20</v>
      </c>
      <c r="G8" s="144" t="s">
        <v>71</v>
      </c>
      <c r="H8" s="143" t="str">
        <f>CONCATENATE("dif ",RIGHT(G7,2),"/",RIGHT(E7,2))</f>
        <v>dif 22/21</v>
      </c>
      <c r="I8" s="144" t="s">
        <v>71</v>
      </c>
      <c r="J8" s="143" t="str">
        <f>CONCATENATE("dif ",RIGHT(I7,2),"/",RIGHT(G7,2))</f>
        <v>dif 23/22</v>
      </c>
      <c r="K8" s="144" t="s">
        <v>71</v>
      </c>
      <c r="L8" s="143" t="str">
        <f>CONCATENATE("dif ",RIGHT(K7,2),"/",RIGHT(I7,2))</f>
        <v>dif 24/23</v>
      </c>
      <c r="M8" s="144" t="s">
        <v>71</v>
      </c>
      <c r="N8" s="143" t="str">
        <f>CONCATENATE("def ",RIGHT(M7,2),"/",RIGHT(K7,2))</f>
        <v>def 25/24</v>
      </c>
    </row>
    <row r="9" spans="1:15" x14ac:dyDescent="0.25">
      <c r="A9" s="1" t="s">
        <v>72</v>
      </c>
      <c r="B9" s="145" t="s">
        <v>73</v>
      </c>
      <c r="C9" s="220">
        <v>7.5032095478103749</v>
      </c>
      <c r="D9" s="221">
        <v>-0.41634465685021294</v>
      </c>
      <c r="E9" s="220">
        <v>4.2534147517274628</v>
      </c>
      <c r="F9" s="221">
        <f t="shared" ref="F9:J21" si="0">IFERROR(E9-C9,"-")</f>
        <v>-3.2497947960829121</v>
      </c>
      <c r="G9" s="220">
        <v>7.3644056930375692</v>
      </c>
      <c r="H9" s="221">
        <f t="shared" si="0"/>
        <v>3.1109909413101065</v>
      </c>
      <c r="I9" s="220">
        <v>7.2885726989773234</v>
      </c>
      <c r="J9" s="221">
        <f t="shared" si="0"/>
        <v>-7.5832994060245795E-2</v>
      </c>
      <c r="K9" s="220">
        <v>7.65598233995585</v>
      </c>
      <c r="L9" s="221">
        <f t="shared" ref="L9:L21" si="1">IFERROR(K9-I9,"-")</f>
        <v>0.36740964097852657</v>
      </c>
      <c r="M9" s="220">
        <v>7.5436789772727275</v>
      </c>
      <c r="N9" s="221">
        <f t="shared" ref="N9:N17" si="2">IFERROR(M9-K9,"-")</f>
        <v>-0.11230336268312247</v>
      </c>
    </row>
    <row r="10" spans="1:15" x14ac:dyDescent="0.25">
      <c r="A10" s="1" t="s">
        <v>74</v>
      </c>
      <c r="B10" s="145" t="s">
        <v>75</v>
      </c>
      <c r="C10" s="220">
        <v>7.7170021872070702</v>
      </c>
      <c r="D10" s="221">
        <v>0.18300645293042272</v>
      </c>
      <c r="E10" s="220">
        <v>3.6048685491723464</v>
      </c>
      <c r="F10" s="221">
        <f t="shared" si="0"/>
        <v>-4.1121336380347238</v>
      </c>
      <c r="G10" s="220">
        <v>6.5212775777716239</v>
      </c>
      <c r="H10" s="221">
        <f t="shared" si="0"/>
        <v>2.9164090285992774</v>
      </c>
      <c r="I10" s="220">
        <v>6.7735424066533829</v>
      </c>
      <c r="J10" s="221">
        <f t="shared" si="0"/>
        <v>0.25226482888175905</v>
      </c>
      <c r="K10" s="220">
        <v>6.9712386605911121</v>
      </c>
      <c r="L10" s="221">
        <f t="shared" si="1"/>
        <v>0.19769625393772916</v>
      </c>
      <c r="M10" s="220">
        <v>7.2220742967575688</v>
      </c>
      <c r="N10" s="221">
        <f t="shared" si="2"/>
        <v>0.25083563616645677</v>
      </c>
    </row>
    <row r="11" spans="1:15" x14ac:dyDescent="0.25">
      <c r="A11" s="1" t="s">
        <v>76</v>
      </c>
      <c r="B11" s="145" t="s">
        <v>77</v>
      </c>
      <c r="C11" s="220">
        <v>9.2506486181613088</v>
      </c>
      <c r="D11" s="221">
        <v>2.2028171886796724</v>
      </c>
      <c r="E11" s="220">
        <v>4.0907075558839834</v>
      </c>
      <c r="F11" s="221">
        <f t="shared" si="0"/>
        <v>-5.1599410622773254</v>
      </c>
      <c r="G11" s="220">
        <v>6.6980792586928164</v>
      </c>
      <c r="H11" s="221">
        <f t="shared" si="0"/>
        <v>2.607371702808833</v>
      </c>
      <c r="I11" s="220">
        <v>6.7377011388261332</v>
      </c>
      <c r="J11" s="221">
        <f t="shared" si="0"/>
        <v>3.96218801333168E-2</v>
      </c>
      <c r="K11" s="220">
        <v>6.4654920309986839</v>
      </c>
      <c r="L11" s="221">
        <f t="shared" si="1"/>
        <v>-0.27220910782744934</v>
      </c>
      <c r="M11" s="220">
        <v>6.9178930739170204</v>
      </c>
      <c r="N11" s="221">
        <f t="shared" si="2"/>
        <v>0.45240104291833649</v>
      </c>
    </row>
    <row r="12" spans="1:15" x14ac:dyDescent="0.25">
      <c r="A12" s="1" t="s">
        <v>78</v>
      </c>
      <c r="B12" s="145" t="s">
        <v>79</v>
      </c>
      <c r="C12" s="220" t="s">
        <v>252</v>
      </c>
      <c r="D12" s="221" t="s">
        <v>252</v>
      </c>
      <c r="E12" s="220">
        <v>3.4268915364381867</v>
      </c>
      <c r="F12" s="221" t="str">
        <f t="shared" si="0"/>
        <v>-</v>
      </c>
      <c r="G12" s="220">
        <v>6.3827739181384446</v>
      </c>
      <c r="H12" s="221">
        <f t="shared" si="0"/>
        <v>2.955882381700258</v>
      </c>
      <c r="I12" s="220">
        <v>6.1673905637881115</v>
      </c>
      <c r="J12" s="221">
        <f t="shared" si="0"/>
        <v>-0.21538335435033318</v>
      </c>
      <c r="K12" s="220">
        <v>6.965188020716055</v>
      </c>
      <c r="L12" s="221">
        <f t="shared" si="1"/>
        <v>0.79779745692794357</v>
      </c>
      <c r="M12" s="220">
        <v>6.8137684550908393</v>
      </c>
      <c r="N12" s="221">
        <f t="shared" si="2"/>
        <v>-0.15141956562521575</v>
      </c>
    </row>
    <row r="13" spans="1:15" x14ac:dyDescent="0.25">
      <c r="A13" s="1" t="s">
        <v>80</v>
      </c>
      <c r="B13" s="145" t="s">
        <v>81</v>
      </c>
      <c r="C13" s="220" t="s">
        <v>252</v>
      </c>
      <c r="D13" s="221" t="s">
        <v>252</v>
      </c>
      <c r="E13" s="220">
        <v>3.5315843470614099</v>
      </c>
      <c r="F13" s="221" t="str">
        <f t="shared" si="0"/>
        <v>-</v>
      </c>
      <c r="G13" s="220">
        <v>6.2174707421855713</v>
      </c>
      <c r="H13" s="221">
        <f t="shared" si="0"/>
        <v>2.6858863951241614</v>
      </c>
      <c r="I13" s="220">
        <v>6.5183552234649831</v>
      </c>
      <c r="J13" s="221">
        <f t="shared" si="0"/>
        <v>0.30088448127941181</v>
      </c>
      <c r="K13" s="220">
        <v>6.820077615250117</v>
      </c>
      <c r="L13" s="221">
        <f t="shared" si="1"/>
        <v>0.30172239178513394</v>
      </c>
      <c r="M13" s="220">
        <v>7.3308251433251437</v>
      </c>
      <c r="N13" s="221">
        <f t="shared" si="2"/>
        <v>0.51074752807502666</v>
      </c>
    </row>
    <row r="14" spans="1:15" x14ac:dyDescent="0.25">
      <c r="A14" s="1" t="s">
        <v>82</v>
      </c>
      <c r="B14" s="145" t="s">
        <v>83</v>
      </c>
      <c r="C14" s="220" t="s">
        <v>252</v>
      </c>
      <c r="D14" s="221" t="s">
        <v>252</v>
      </c>
      <c r="E14" s="220">
        <v>4.9431877958968959</v>
      </c>
      <c r="F14" s="221" t="str">
        <f t="shared" si="0"/>
        <v>-</v>
      </c>
      <c r="G14" s="220">
        <v>7.000953086942709</v>
      </c>
      <c r="H14" s="221">
        <f t="shared" si="0"/>
        <v>2.0577652910458131</v>
      </c>
      <c r="I14" s="220">
        <v>6.7547590790410634</v>
      </c>
      <c r="J14" s="221">
        <f t="shared" si="0"/>
        <v>-0.24619400790164558</v>
      </c>
      <c r="K14" s="220">
        <v>6.8785517271573049</v>
      </c>
      <c r="L14" s="221">
        <f t="shared" si="1"/>
        <v>0.12379264811624147</v>
      </c>
      <c r="M14" s="220">
        <v>6.7413964333520449</v>
      </c>
      <c r="N14" s="221">
        <f t="shared" si="2"/>
        <v>-0.13715529380526004</v>
      </c>
    </row>
    <row r="15" spans="1:15" x14ac:dyDescent="0.25">
      <c r="A15" s="1" t="s">
        <v>84</v>
      </c>
      <c r="B15" s="145" t="s">
        <v>85</v>
      </c>
      <c r="C15" s="220" t="s">
        <v>252</v>
      </c>
      <c r="D15" s="221" t="s">
        <v>252</v>
      </c>
      <c r="E15" s="220">
        <v>5.9776886192386733</v>
      </c>
      <c r="F15" s="221" t="str">
        <f t="shared" si="0"/>
        <v>-</v>
      </c>
      <c r="G15" s="220">
        <v>6.9023408766388297</v>
      </c>
      <c r="H15" s="221">
        <f t="shared" si="0"/>
        <v>0.92465225740015633</v>
      </c>
      <c r="I15" s="220">
        <v>6.8557834898665346</v>
      </c>
      <c r="J15" s="221">
        <f t="shared" si="0"/>
        <v>-4.655738677229504E-2</v>
      </c>
      <c r="K15" s="220">
        <v>6.9805567830313739</v>
      </c>
      <c r="L15" s="221">
        <f t="shared" si="1"/>
        <v>0.12477329316483932</v>
      </c>
      <c r="M15" s="220">
        <v>6.7038852318259874</v>
      </c>
      <c r="N15" s="221">
        <f t="shared" si="2"/>
        <v>-0.27667155120538656</v>
      </c>
    </row>
    <row r="16" spans="1:15" x14ac:dyDescent="0.25">
      <c r="A16" s="1" t="s">
        <v>86</v>
      </c>
      <c r="B16" s="145" t="s">
        <v>87</v>
      </c>
      <c r="C16" s="220">
        <v>4.5515607371192175</v>
      </c>
      <c r="D16" s="221">
        <v>-2.8081057811534764</v>
      </c>
      <c r="E16" s="220">
        <v>5.1992433795712483</v>
      </c>
      <c r="F16" s="221">
        <f t="shared" si="0"/>
        <v>0.64768264245203078</v>
      </c>
      <c r="G16" s="220">
        <v>7.2397501926274384</v>
      </c>
      <c r="H16" s="221">
        <f t="shared" si="0"/>
        <v>2.0405068130561901</v>
      </c>
      <c r="I16" s="220">
        <v>7.1337124926456168</v>
      </c>
      <c r="J16" s="221">
        <f t="shared" si="0"/>
        <v>-0.10603769998182155</v>
      </c>
      <c r="K16" s="220">
        <v>7.0900904459101861</v>
      </c>
      <c r="L16" s="221">
        <f t="shared" si="1"/>
        <v>-4.3622046735430686E-2</v>
      </c>
      <c r="M16" s="220">
        <v>7.4288856592953376</v>
      </c>
      <c r="N16" s="221">
        <f t="shared" si="2"/>
        <v>0.33879521338515151</v>
      </c>
    </row>
    <row r="17" spans="1:15" x14ac:dyDescent="0.25">
      <c r="A17" s="1" t="s">
        <v>88</v>
      </c>
      <c r="B17" s="145" t="s">
        <v>89</v>
      </c>
      <c r="C17" s="220">
        <v>4.0015720524017464</v>
      </c>
      <c r="D17" s="221">
        <v>-3.4080175453227559</v>
      </c>
      <c r="E17" s="220">
        <v>5.8313355603589443</v>
      </c>
      <c r="F17" s="221">
        <f t="shared" si="0"/>
        <v>1.8297635079571979</v>
      </c>
      <c r="G17" s="220">
        <v>6.7605067064083455</v>
      </c>
      <c r="H17" s="221">
        <f t="shared" si="0"/>
        <v>0.92917114604940121</v>
      </c>
      <c r="I17" s="220">
        <v>6.8220845019451737</v>
      </c>
      <c r="J17" s="221">
        <f t="shared" si="0"/>
        <v>6.1577795536828184E-2</v>
      </c>
      <c r="K17" s="220">
        <v>6.8866018317439339</v>
      </c>
      <c r="L17" s="221">
        <f t="shared" si="1"/>
        <v>6.4517329798760237E-2</v>
      </c>
      <c r="M17" s="220">
        <v>6.7704580121202129</v>
      </c>
      <c r="N17" s="221">
        <f t="shared" si="2"/>
        <v>-0.116143819623721</v>
      </c>
    </row>
    <row r="18" spans="1:15" x14ac:dyDescent="0.25">
      <c r="A18" s="1" t="s">
        <v>90</v>
      </c>
      <c r="B18" s="145" t="s">
        <v>91</v>
      </c>
      <c r="C18" s="220">
        <v>3.6523630907726932</v>
      </c>
      <c r="D18" s="221">
        <v>-3.4295121010880272</v>
      </c>
      <c r="E18" s="220">
        <v>5.9282195332757128</v>
      </c>
      <c r="F18" s="221">
        <f t="shared" si="0"/>
        <v>2.2758564425030197</v>
      </c>
      <c r="G18" s="220">
        <v>6.9025843149549875</v>
      </c>
      <c r="H18" s="221">
        <f t="shared" si="0"/>
        <v>0.97436478167927465</v>
      </c>
      <c r="I18" s="220">
        <v>6.8264086055904345</v>
      </c>
      <c r="J18" s="221">
        <f t="shared" si="0"/>
        <v>-7.6175709364552979E-2</v>
      </c>
      <c r="K18" s="220">
        <v>6.499798836911598</v>
      </c>
      <c r="L18" s="221">
        <f t="shared" si="1"/>
        <v>-0.32660976867883651</v>
      </c>
      <c r="M18" s="220"/>
      <c r="N18" s="221"/>
    </row>
    <row r="19" spans="1:15" x14ac:dyDescent="0.25">
      <c r="A19" s="1" t="s">
        <v>92</v>
      </c>
      <c r="B19" s="145" t="s">
        <v>93</v>
      </c>
      <c r="C19" s="220">
        <v>6.220779220779221</v>
      </c>
      <c r="D19" s="221">
        <v>-1.2079309678614418</v>
      </c>
      <c r="E19" s="220">
        <v>6.9308398023994355</v>
      </c>
      <c r="F19" s="221">
        <f t="shared" si="0"/>
        <v>0.71006058162021457</v>
      </c>
      <c r="G19" s="220">
        <v>7.2594999762797094</v>
      </c>
      <c r="H19" s="221">
        <f t="shared" si="0"/>
        <v>0.32866017388027391</v>
      </c>
      <c r="I19" s="220">
        <v>6.7909695542611646</v>
      </c>
      <c r="J19" s="221">
        <f t="shared" si="0"/>
        <v>-0.46853042201854489</v>
      </c>
      <c r="K19" s="220">
        <v>6.9614775499721784</v>
      </c>
      <c r="L19" s="221">
        <f t="shared" si="1"/>
        <v>0.17050799571101383</v>
      </c>
      <c r="M19" s="220"/>
      <c r="N19" s="221"/>
    </row>
    <row r="20" spans="1:15" x14ac:dyDescent="0.25">
      <c r="A20" s="1" t="s">
        <v>94</v>
      </c>
      <c r="B20" s="145" t="s">
        <v>95</v>
      </c>
      <c r="C20" s="220">
        <v>5.3013895543842837</v>
      </c>
      <c r="D20" s="221">
        <v>-1.8246712828427594</v>
      </c>
      <c r="E20" s="220">
        <v>6.2279114435907807</v>
      </c>
      <c r="F20" s="221">
        <f t="shared" si="0"/>
        <v>0.92652188920649703</v>
      </c>
      <c r="G20" s="220">
        <v>6.7056474124973162</v>
      </c>
      <c r="H20" s="221">
        <f t="shared" si="0"/>
        <v>0.47773596890653547</v>
      </c>
      <c r="I20" s="220">
        <v>6.5663159638803741</v>
      </c>
      <c r="J20" s="221">
        <f t="shared" si="0"/>
        <v>-0.13933144861694213</v>
      </c>
      <c r="K20" s="220">
        <v>6.8930442249892661</v>
      </c>
      <c r="L20" s="221">
        <f t="shared" si="1"/>
        <v>0.32672826110889197</v>
      </c>
      <c r="M20" s="220"/>
      <c r="N20" s="221"/>
    </row>
    <row r="21" spans="1:15" ht="15.75" x14ac:dyDescent="0.25">
      <c r="A21" s="1" t="s">
        <v>0</v>
      </c>
      <c r="B21" s="148" t="s">
        <v>32</v>
      </c>
      <c r="C21" s="222">
        <v>6.3173322576307651</v>
      </c>
      <c r="D21" s="223">
        <v>-1.1030430860612865</v>
      </c>
      <c r="E21" s="222">
        <v>5.5219885141008653</v>
      </c>
      <c r="F21" s="223">
        <f t="shared" si="0"/>
        <v>-0.79534374352989978</v>
      </c>
      <c r="G21" s="222">
        <v>6.81836284648623</v>
      </c>
      <c r="H21" s="223">
        <f t="shared" si="0"/>
        <v>1.2963743323853647</v>
      </c>
      <c r="I21" s="222">
        <v>6.7723569064660403</v>
      </c>
      <c r="J21" s="223">
        <f t="shared" si="0"/>
        <v>-4.6005940020189762E-2</v>
      </c>
      <c r="K21" s="222">
        <v>6.910044821236232</v>
      </c>
      <c r="L21" s="223">
        <f t="shared" si="1"/>
        <v>0.13768791477019171</v>
      </c>
      <c r="M21" s="222">
        <v>7.0403072992939792</v>
      </c>
      <c r="N21" s="223">
        <v>8.1571750972057266E-2</v>
      </c>
    </row>
    <row r="22" spans="1:15" ht="6" customHeight="1" x14ac:dyDescent="0.25"/>
    <row r="23" spans="1:15" x14ac:dyDescent="0.25">
      <c r="B23" s="131" t="s">
        <v>57</v>
      </c>
      <c r="C23" s="228"/>
      <c r="D23" s="228"/>
      <c r="E23" s="228"/>
      <c r="F23" s="228"/>
      <c r="G23" s="228"/>
      <c r="H23" s="228"/>
      <c r="I23" s="228"/>
      <c r="J23" s="228"/>
      <c r="K23" s="228"/>
      <c r="L23" s="228"/>
      <c r="M23" s="228"/>
      <c r="N23" s="228"/>
    </row>
    <row r="24" spans="1:15" x14ac:dyDescent="0.25">
      <c r="N24" s="229"/>
    </row>
    <row r="26" spans="1:15" ht="48.75" customHeight="1" thickBot="1" x14ac:dyDescent="0.3">
      <c r="B26" s="12" t="s">
        <v>304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" t="s">
        <v>96</v>
      </c>
    </row>
    <row r="27" spans="1:15" ht="10.5" customHeight="1" thickBot="1" x14ac:dyDescent="0.3">
      <c r="B27" s="132"/>
      <c r="C27" s="224"/>
      <c r="D27" s="224"/>
      <c r="E27" s="224"/>
      <c r="F27" s="224"/>
      <c r="G27" s="224"/>
      <c r="H27" s="224"/>
      <c r="I27" s="224"/>
      <c r="J27" s="224"/>
      <c r="K27" s="224"/>
      <c r="L27" s="224"/>
      <c r="M27" s="48"/>
      <c r="N27" s="48"/>
      <c r="O27" s="1" t="s">
        <v>97</v>
      </c>
    </row>
    <row r="28" spans="1:15" ht="22.5" thickTop="1" thickBot="1" x14ac:dyDescent="0.3">
      <c r="B28" s="152" t="s">
        <v>98</v>
      </c>
      <c r="C28" s="225" t="s">
        <v>139</v>
      </c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</row>
    <row r="29" spans="1:15" ht="22.5" thickTop="1" thickBot="1" x14ac:dyDescent="0.3">
      <c r="B29" s="137"/>
      <c r="C29" s="138">
        <v>2020</v>
      </c>
      <c r="D29" s="139"/>
      <c r="E29" s="140">
        <v>2021</v>
      </c>
      <c r="F29" s="139"/>
      <c r="G29" s="140">
        <v>2022</v>
      </c>
      <c r="H29" s="139"/>
      <c r="I29" s="140">
        <v>2023</v>
      </c>
      <c r="J29" s="139"/>
      <c r="K29" s="140">
        <v>2024</v>
      </c>
      <c r="L29" s="139"/>
      <c r="M29" s="140">
        <f>M$7</f>
        <v>2025</v>
      </c>
      <c r="N29" s="141"/>
    </row>
    <row r="30" spans="1:15" ht="16.5" thickTop="1" thickBot="1" x14ac:dyDescent="0.3">
      <c r="B30" s="109"/>
      <c r="C30" s="142" t="s">
        <v>71</v>
      </c>
      <c r="D30" s="143" t="str">
        <f>CONCATENATE("dif ",RIGHT(C29,2),"/",RIGHT(C29-1,2))</f>
        <v>dif 20/19</v>
      </c>
      <c r="E30" s="144" t="s">
        <v>71</v>
      </c>
      <c r="F30" s="143" t="str">
        <f>CONCATENATE("dif ",RIGHT(E29,2),"/",RIGHT(C29,2))</f>
        <v>dif 21/20</v>
      </c>
      <c r="G30" s="144" t="s">
        <v>71</v>
      </c>
      <c r="H30" s="143" t="str">
        <f>CONCATENATE("dif ",RIGHT(G29,2),"/",RIGHT(E29,2))</f>
        <v>dif 22/21</v>
      </c>
      <c r="I30" s="144" t="s">
        <v>71</v>
      </c>
      <c r="J30" s="143" t="str">
        <f>CONCATENATE("dif ",RIGHT(I29,2),"/",RIGHT(G29,2))</f>
        <v>dif 23/22</v>
      </c>
      <c r="K30" s="144" t="s">
        <v>71</v>
      </c>
      <c r="L30" s="143" t="str">
        <f>CONCATENATE("dif ",RIGHT(K29,2),"/",RIGHT(I29,2))</f>
        <v>dif 24/23</v>
      </c>
      <c r="M30" s="144" t="s">
        <v>71</v>
      </c>
      <c r="N30" s="143" t="str">
        <f>CONCATENATE("def ",RIGHT(M29,2),"/",RIGHT(K29,2))</f>
        <v>def 25/24</v>
      </c>
    </row>
    <row r="31" spans="1:15" x14ac:dyDescent="0.25">
      <c r="B31" s="145" t="s">
        <v>73</v>
      </c>
      <c r="C31" s="220">
        <v>7.1722886288253331</v>
      </c>
      <c r="D31" s="221">
        <v>-0.87553624568665711</v>
      </c>
      <c r="E31" s="220">
        <v>4.0495641770637496</v>
      </c>
      <c r="F31" s="221">
        <f t="shared" ref="F31:J43" si="3">IFERROR(E31-C31,"-")</f>
        <v>-3.1227244517615835</v>
      </c>
      <c r="G31" s="220">
        <v>7.4232942910967319</v>
      </c>
      <c r="H31" s="221">
        <f t="shared" si="3"/>
        <v>3.3737301140329823</v>
      </c>
      <c r="I31" s="220">
        <v>7.3121399847842623</v>
      </c>
      <c r="J31" s="221">
        <f t="shared" si="3"/>
        <v>-0.11115430631246959</v>
      </c>
      <c r="K31" s="220">
        <v>7.7830106115304671</v>
      </c>
      <c r="L31" s="221">
        <f t="shared" ref="L31:L43" si="4">IFERROR(K31-I31,"-")</f>
        <v>0.47087062674620483</v>
      </c>
      <c r="M31" s="220">
        <v>7.6305019305019304</v>
      </c>
      <c r="N31" s="221">
        <f>IFERROR(M31-K31,"-")</f>
        <v>-0.15250868102853676</v>
      </c>
    </row>
    <row r="32" spans="1:15" x14ac:dyDescent="0.25">
      <c r="B32" s="145" t="s">
        <v>75</v>
      </c>
      <c r="C32" s="220">
        <v>7.7980511144824369</v>
      </c>
      <c r="D32" s="221">
        <v>0.24538060109288207</v>
      </c>
      <c r="E32" s="220">
        <v>3.3648678658671995</v>
      </c>
      <c r="F32" s="221">
        <f t="shared" si="3"/>
        <v>-4.4331832486152374</v>
      </c>
      <c r="G32" s="220">
        <v>6.4787005649717511</v>
      </c>
      <c r="H32" s="221">
        <f t="shared" si="3"/>
        <v>3.1138326991045515</v>
      </c>
      <c r="I32" s="220">
        <v>6.7495257166947722</v>
      </c>
      <c r="J32" s="221">
        <f t="shared" si="3"/>
        <v>0.27082515172302113</v>
      </c>
      <c r="K32" s="220">
        <v>7.0446694460988688</v>
      </c>
      <c r="L32" s="221">
        <f t="shared" si="4"/>
        <v>0.29514372940409661</v>
      </c>
      <c r="M32" s="220">
        <v>7.1990871891721753</v>
      </c>
      <c r="N32" s="221">
        <f t="shared" ref="N32:N39" si="5">IFERROR(M32-K32,"-")</f>
        <v>0.15441774307330647</v>
      </c>
    </row>
    <row r="33" spans="2:15" x14ac:dyDescent="0.25">
      <c r="B33" s="145" t="s">
        <v>77</v>
      </c>
      <c r="C33" s="220">
        <v>9.5442463533225279</v>
      </c>
      <c r="D33" s="221">
        <v>2.2861546909714141</v>
      </c>
      <c r="E33" s="220">
        <v>3.9265434880576837</v>
      </c>
      <c r="F33" s="221">
        <f t="shared" si="3"/>
        <v>-5.6177028652648442</v>
      </c>
      <c r="G33" s="220">
        <v>6.8313158042902993</v>
      </c>
      <c r="H33" s="221">
        <f t="shared" si="3"/>
        <v>2.9047723162326156</v>
      </c>
      <c r="I33" s="220">
        <v>6.7355343379730819</v>
      </c>
      <c r="J33" s="221">
        <f t="shared" si="3"/>
        <v>-9.5781466317217401E-2</v>
      </c>
      <c r="K33" s="220">
        <v>6.5830399855582638</v>
      </c>
      <c r="L33" s="221">
        <f t="shared" si="4"/>
        <v>-0.15249435241481812</v>
      </c>
      <c r="M33" s="220">
        <v>6.8430692311616754</v>
      </c>
      <c r="N33" s="221">
        <f t="shared" si="5"/>
        <v>0.26002924560341167</v>
      </c>
    </row>
    <row r="34" spans="2:15" x14ac:dyDescent="0.25">
      <c r="B34" s="145" t="s">
        <v>79</v>
      </c>
      <c r="C34" s="220" t="s">
        <v>252</v>
      </c>
      <c r="D34" s="221" t="s">
        <v>252</v>
      </c>
      <c r="E34" s="220">
        <v>3.1638516792855755</v>
      </c>
      <c r="F34" s="221" t="str">
        <f t="shared" si="3"/>
        <v>-</v>
      </c>
      <c r="G34" s="220">
        <v>6.5079556291723133</v>
      </c>
      <c r="H34" s="221">
        <f t="shared" si="3"/>
        <v>3.3441039498867378</v>
      </c>
      <c r="I34" s="220">
        <v>6.2256879784812744</v>
      </c>
      <c r="J34" s="221">
        <f t="shared" si="3"/>
        <v>-0.28226765069103887</v>
      </c>
      <c r="K34" s="220">
        <v>7.0874621376027696</v>
      </c>
      <c r="L34" s="221">
        <f t="shared" si="4"/>
        <v>0.86177415912149513</v>
      </c>
      <c r="M34" s="220">
        <v>6.8284109816971714</v>
      </c>
      <c r="N34" s="221">
        <f t="shared" si="5"/>
        <v>-0.25905115590559813</v>
      </c>
    </row>
    <row r="35" spans="2:15" x14ac:dyDescent="0.25">
      <c r="B35" s="145" t="s">
        <v>81</v>
      </c>
      <c r="C35" s="220" t="s">
        <v>252</v>
      </c>
      <c r="D35" s="221" t="s">
        <v>252</v>
      </c>
      <c r="E35" s="220">
        <v>3.4084800302858222</v>
      </c>
      <c r="F35" s="221" t="str">
        <f t="shared" si="3"/>
        <v>-</v>
      </c>
      <c r="G35" s="220">
        <v>6.3496859616363945</v>
      </c>
      <c r="H35" s="221">
        <f t="shared" si="3"/>
        <v>2.9412059313505723</v>
      </c>
      <c r="I35" s="220">
        <v>6.6629379024337005</v>
      </c>
      <c r="J35" s="221">
        <f t="shared" si="3"/>
        <v>0.31325194079730601</v>
      </c>
      <c r="K35" s="220">
        <v>7.071705031574659</v>
      </c>
      <c r="L35" s="221">
        <f t="shared" si="4"/>
        <v>0.40876712914095847</v>
      </c>
      <c r="M35" s="220">
        <v>7.8248397332124586</v>
      </c>
      <c r="N35" s="221">
        <f t="shared" si="5"/>
        <v>0.75313470163779961</v>
      </c>
    </row>
    <row r="36" spans="2:15" x14ac:dyDescent="0.25">
      <c r="B36" s="145" t="s">
        <v>83</v>
      </c>
      <c r="C36" s="220" t="s">
        <v>252</v>
      </c>
      <c r="D36" s="221" t="s">
        <v>252</v>
      </c>
      <c r="E36" s="220">
        <v>5.217721518987342</v>
      </c>
      <c r="F36" s="221" t="str">
        <f t="shared" si="3"/>
        <v>-</v>
      </c>
      <c r="G36" s="220">
        <v>7.3215162773125115</v>
      </c>
      <c r="H36" s="221">
        <f t="shared" si="3"/>
        <v>2.1037947583251695</v>
      </c>
      <c r="I36" s="220">
        <v>6.9370747342968002</v>
      </c>
      <c r="J36" s="221">
        <f t="shared" si="3"/>
        <v>-0.38444154301571132</v>
      </c>
      <c r="K36" s="220">
        <v>7.119649250246459</v>
      </c>
      <c r="L36" s="221">
        <f t="shared" si="4"/>
        <v>0.18257451594965879</v>
      </c>
      <c r="M36" s="220">
        <v>6.8711458333333333</v>
      </c>
      <c r="N36" s="221">
        <f t="shared" si="5"/>
        <v>-0.24850341691312572</v>
      </c>
    </row>
    <row r="37" spans="2:15" x14ac:dyDescent="0.25">
      <c r="B37" s="145" t="s">
        <v>85</v>
      </c>
      <c r="C37" s="220" t="s">
        <v>252</v>
      </c>
      <c r="D37" s="221" t="s">
        <v>252</v>
      </c>
      <c r="E37" s="220">
        <v>5.9580014482259234</v>
      </c>
      <c r="F37" s="221" t="str">
        <f t="shared" si="3"/>
        <v>-</v>
      </c>
      <c r="G37" s="220">
        <v>7.2865069625993701</v>
      </c>
      <c r="H37" s="221">
        <f t="shared" si="3"/>
        <v>1.3285055143734468</v>
      </c>
      <c r="I37" s="220">
        <v>6.9112867374660407</v>
      </c>
      <c r="J37" s="221">
        <f t="shared" si="3"/>
        <v>-0.37522022513332942</v>
      </c>
      <c r="K37" s="220">
        <v>7.1540335151987531</v>
      </c>
      <c r="L37" s="221">
        <f t="shared" si="4"/>
        <v>0.24274677773271236</v>
      </c>
      <c r="M37" s="220">
        <v>6.7409203102961914</v>
      </c>
      <c r="N37" s="221">
        <f t="shared" si="5"/>
        <v>-0.41311320490256165</v>
      </c>
    </row>
    <row r="38" spans="2:15" x14ac:dyDescent="0.25">
      <c r="B38" s="145" t="s">
        <v>87</v>
      </c>
      <c r="C38" s="220">
        <v>4.5153065649119766</v>
      </c>
      <c r="D38" s="221">
        <v>-2.8611240796310389</v>
      </c>
      <c r="E38" s="220">
        <v>5.031186868686869</v>
      </c>
      <c r="F38" s="221">
        <f t="shared" si="3"/>
        <v>0.51588030377489247</v>
      </c>
      <c r="G38" s="220">
        <v>7.3807104118825428</v>
      </c>
      <c r="H38" s="221">
        <f t="shared" si="3"/>
        <v>2.3495235431956738</v>
      </c>
      <c r="I38" s="220">
        <v>7.3794321023981171</v>
      </c>
      <c r="J38" s="221">
        <f t="shared" si="3"/>
        <v>-1.2783094844257548E-3</v>
      </c>
      <c r="K38" s="220">
        <v>7.2201022146507663</v>
      </c>
      <c r="L38" s="221">
        <f t="shared" si="4"/>
        <v>-0.1593298877473508</v>
      </c>
      <c r="M38" s="220">
        <v>7.6395521243417353</v>
      </c>
      <c r="N38" s="221">
        <f t="shared" si="5"/>
        <v>0.41944990969096896</v>
      </c>
    </row>
    <row r="39" spans="2:15" x14ac:dyDescent="0.25">
      <c r="B39" s="145" t="s">
        <v>89</v>
      </c>
      <c r="C39" s="220">
        <v>3.9986810287975381</v>
      </c>
      <c r="D39" s="221">
        <v>-3.4416486738812964</v>
      </c>
      <c r="E39" s="220">
        <v>5.8902299289588269</v>
      </c>
      <c r="F39" s="221">
        <f t="shared" si="3"/>
        <v>1.8915489001612888</v>
      </c>
      <c r="G39" s="220">
        <v>6.9096228868660594</v>
      </c>
      <c r="H39" s="221">
        <f t="shared" si="3"/>
        <v>1.0193929579072325</v>
      </c>
      <c r="I39" s="220">
        <v>6.9975186104218361</v>
      </c>
      <c r="J39" s="221">
        <f t="shared" si="3"/>
        <v>8.7895723555776684E-2</v>
      </c>
      <c r="K39" s="220">
        <v>7.0984699200185464</v>
      </c>
      <c r="L39" s="221">
        <f t="shared" si="4"/>
        <v>0.10095130959671028</v>
      </c>
      <c r="M39" s="220">
        <v>6.7718217497143423</v>
      </c>
      <c r="N39" s="221">
        <f t="shared" si="5"/>
        <v>-0.32664817030420412</v>
      </c>
    </row>
    <row r="40" spans="2:15" x14ac:dyDescent="0.25">
      <c r="B40" s="145" t="s">
        <v>91</v>
      </c>
      <c r="C40" s="220">
        <v>3.5746102449888641</v>
      </c>
      <c r="D40" s="221">
        <v>-3.6582917882828547</v>
      </c>
      <c r="E40" s="220">
        <v>5.9594374235629841</v>
      </c>
      <c r="F40" s="221">
        <f t="shared" si="3"/>
        <v>2.38482717857412</v>
      </c>
      <c r="G40" s="220">
        <v>6.9936959076824445</v>
      </c>
      <c r="H40" s="221">
        <f t="shared" si="3"/>
        <v>1.0342584841194604</v>
      </c>
      <c r="I40" s="220">
        <v>6.9798752558230195</v>
      </c>
      <c r="J40" s="221">
        <f t="shared" si="3"/>
        <v>-1.3820651859425048E-2</v>
      </c>
      <c r="K40" s="220">
        <v>6.6309703145768717</v>
      </c>
      <c r="L40" s="221">
        <f t="shared" si="4"/>
        <v>-0.34890494124614779</v>
      </c>
      <c r="M40" s="220"/>
      <c r="N40" s="221"/>
    </row>
    <row r="41" spans="2:15" x14ac:dyDescent="0.25">
      <c r="B41" s="145" t="s">
        <v>93</v>
      </c>
      <c r="C41" s="220">
        <v>6.106996819627442</v>
      </c>
      <c r="D41" s="221">
        <v>-1.4409483858520105</v>
      </c>
      <c r="E41" s="220">
        <v>6.9410620974602013</v>
      </c>
      <c r="F41" s="221">
        <f t="shared" si="3"/>
        <v>0.8340652778327593</v>
      </c>
      <c r="G41" s="220">
        <v>7.5262712888029952</v>
      </c>
      <c r="H41" s="221">
        <f t="shared" si="3"/>
        <v>0.58520919134279392</v>
      </c>
      <c r="I41" s="220">
        <v>6.7701183875318449</v>
      </c>
      <c r="J41" s="221">
        <f t="shared" si="3"/>
        <v>-0.75615290127115031</v>
      </c>
      <c r="K41" s="220">
        <v>7.0974414220307027</v>
      </c>
      <c r="L41" s="221">
        <f t="shared" si="4"/>
        <v>0.3273230344988578</v>
      </c>
      <c r="M41" s="220"/>
      <c r="N41" s="221"/>
    </row>
    <row r="42" spans="2:15" x14ac:dyDescent="0.25">
      <c r="B42" s="145" t="s">
        <v>95</v>
      </c>
      <c r="C42" s="220">
        <v>5.2586779911373709</v>
      </c>
      <c r="D42" s="221">
        <v>-2.0825300625539045</v>
      </c>
      <c r="E42" s="220">
        <v>6.2516087926091108</v>
      </c>
      <c r="F42" s="221">
        <f t="shared" si="3"/>
        <v>0.99293080147173995</v>
      </c>
      <c r="G42" s="220">
        <v>6.8146903504560727</v>
      </c>
      <c r="H42" s="221">
        <f t="shared" si="3"/>
        <v>0.5630815578469619</v>
      </c>
      <c r="I42" s="220">
        <v>6.5663884479492038</v>
      </c>
      <c r="J42" s="221">
        <f t="shared" si="3"/>
        <v>-0.2483019025068689</v>
      </c>
      <c r="K42" s="220">
        <v>7.0378726397229885</v>
      </c>
      <c r="L42" s="221">
        <f t="shared" si="4"/>
        <v>0.47148419177378464</v>
      </c>
      <c r="M42" s="220"/>
      <c r="N42" s="221"/>
    </row>
    <row r="43" spans="2:15" ht="15.75" x14ac:dyDescent="0.25">
      <c r="B43" s="148" t="s">
        <v>32</v>
      </c>
      <c r="C43" s="222">
        <v>6.1436409624489263</v>
      </c>
      <c r="D43" s="223">
        <v>-1.5301397799910923</v>
      </c>
      <c r="E43" s="222">
        <v>5.4757354833176084</v>
      </c>
      <c r="F43" s="223">
        <f t="shared" si="3"/>
        <v>-0.66790547913131793</v>
      </c>
      <c r="G43" s="222">
        <v>6.9692850855190303</v>
      </c>
      <c r="H43" s="223">
        <f t="shared" si="3"/>
        <v>1.4935496022014219</v>
      </c>
      <c r="I43" s="222">
        <v>6.8539201732403097</v>
      </c>
      <c r="J43" s="223">
        <f t="shared" si="3"/>
        <v>-0.11536491227872059</v>
      </c>
      <c r="K43" s="222">
        <v>7.063027169075573</v>
      </c>
      <c r="L43" s="223">
        <f t="shared" si="4"/>
        <v>0.20910699583526338</v>
      </c>
      <c r="M43" s="222">
        <v>7.122234807332239</v>
      </c>
      <c r="N43" s="223">
        <v>4.8860165522581767E-3</v>
      </c>
    </row>
    <row r="44" spans="2:15" ht="6" customHeight="1" x14ac:dyDescent="0.25"/>
    <row r="45" spans="2:15" x14ac:dyDescent="0.25">
      <c r="B45" s="131" t="s">
        <v>57</v>
      </c>
      <c r="C45" s="228"/>
      <c r="D45" s="228"/>
      <c r="E45" s="228"/>
      <c r="F45" s="228"/>
      <c r="G45" s="228"/>
      <c r="H45" s="228"/>
      <c r="I45" s="228"/>
      <c r="J45" s="228"/>
      <c r="K45" s="228"/>
      <c r="L45" s="228"/>
      <c r="M45" s="228"/>
      <c r="N45" s="228"/>
    </row>
    <row r="48" spans="2:15" ht="48.75" customHeight="1" thickBot="1" x14ac:dyDescent="0.3">
      <c r="B48" s="12" t="s">
        <v>305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" t="s">
        <v>100</v>
      </c>
    </row>
    <row r="49" spans="1:15" ht="10.5" customHeight="1" thickBot="1" x14ac:dyDescent="0.3">
      <c r="B49" s="132"/>
      <c r="C49" s="224"/>
      <c r="D49" s="224"/>
      <c r="E49" s="224"/>
      <c r="F49" s="224"/>
      <c r="G49" s="224"/>
      <c r="H49" s="224"/>
      <c r="I49" s="224"/>
      <c r="J49" s="224"/>
      <c r="K49" s="224"/>
      <c r="L49" s="224"/>
      <c r="M49" s="48"/>
      <c r="N49" s="48"/>
      <c r="O49" s="1" t="s">
        <v>101</v>
      </c>
    </row>
    <row r="50" spans="1:15" ht="22.5" thickTop="1" thickBot="1" x14ac:dyDescent="0.3">
      <c r="B50" s="137"/>
      <c r="C50" s="225" t="s">
        <v>63</v>
      </c>
      <c r="D50" s="226"/>
      <c r="E50" s="226"/>
      <c r="F50" s="226"/>
      <c r="G50" s="226"/>
      <c r="H50" s="226"/>
      <c r="I50" s="226"/>
      <c r="J50" s="226"/>
      <c r="K50" s="226"/>
      <c r="L50" s="226"/>
      <c r="M50" s="226"/>
      <c r="N50" s="226"/>
    </row>
    <row r="51" spans="1:15" ht="22.5" thickTop="1" thickBot="1" x14ac:dyDescent="0.3">
      <c r="B51" s="137"/>
      <c r="C51" s="138">
        <v>2020</v>
      </c>
      <c r="D51" s="139"/>
      <c r="E51" s="140">
        <v>2021</v>
      </c>
      <c r="F51" s="139"/>
      <c r="G51" s="140">
        <v>2022</v>
      </c>
      <c r="H51" s="139"/>
      <c r="I51" s="140">
        <v>2023</v>
      </c>
      <c r="J51" s="139"/>
      <c r="K51" s="140">
        <v>2024</v>
      </c>
      <c r="L51" s="139"/>
      <c r="M51" s="140">
        <f>M$7</f>
        <v>2025</v>
      </c>
      <c r="N51" s="141"/>
    </row>
    <row r="52" spans="1:15" ht="16.5" thickTop="1" thickBot="1" x14ac:dyDescent="0.3">
      <c r="B52" s="109"/>
      <c r="C52" s="142" t="s">
        <v>71</v>
      </c>
      <c r="D52" s="143" t="str">
        <f>CONCATENATE("dif ",RIGHT(C51,2),"/",RIGHT(C51-1,2))</f>
        <v>dif 20/19</v>
      </c>
      <c r="E52" s="144" t="s">
        <v>71</v>
      </c>
      <c r="F52" s="143" t="str">
        <f>CONCATENATE("dif ",RIGHT(E51,2),"/",RIGHT(C51,2))</f>
        <v>dif 21/20</v>
      </c>
      <c r="G52" s="144" t="s">
        <v>71</v>
      </c>
      <c r="H52" s="143" t="str">
        <f>CONCATENATE("dif ",RIGHT(G51,2),"/",RIGHT(E51,2))</f>
        <v>dif 22/21</v>
      </c>
      <c r="I52" s="144" t="s">
        <v>71</v>
      </c>
      <c r="J52" s="143" t="str">
        <f>CONCATENATE("dif ",RIGHT(I51,2),"/",RIGHT(G51,2))</f>
        <v>dif 23/22</v>
      </c>
      <c r="K52" s="144" t="s">
        <v>71</v>
      </c>
      <c r="L52" s="143" t="str">
        <f>CONCATENATE("dif ",RIGHT(K51,2),"/",RIGHT(I51,2))</f>
        <v>dif 24/23</v>
      </c>
      <c r="M52" s="144" t="s">
        <v>71</v>
      </c>
      <c r="N52" s="143" t="str">
        <f>CONCATENATE("def ",RIGHT(M51,2),"/",RIGHT(K51,2))</f>
        <v>def 25/24</v>
      </c>
    </row>
    <row r="53" spans="1:15" x14ac:dyDescent="0.25">
      <c r="A53" s="1"/>
      <c r="B53" s="145" t="s">
        <v>73</v>
      </c>
      <c r="C53" s="220">
        <v>6.6858373639661428</v>
      </c>
      <c r="D53" s="221">
        <v>-1.3342627393150197</v>
      </c>
      <c r="E53" s="220" t="s">
        <v>252</v>
      </c>
      <c r="F53" s="221" t="str">
        <f t="shared" ref="F53:J65" si="6">IFERROR(E53-C53,"-")</f>
        <v>-</v>
      </c>
      <c r="G53" s="220">
        <v>7.9259781077273219</v>
      </c>
      <c r="H53" s="221" t="str">
        <f t="shared" si="6"/>
        <v>-</v>
      </c>
      <c r="I53" s="220">
        <v>7.5696016069635084</v>
      </c>
      <c r="J53" s="221">
        <f t="shared" si="6"/>
        <v>-0.35637650076381355</v>
      </c>
      <c r="K53" s="220">
        <v>7.9239933119687889</v>
      </c>
      <c r="L53" s="221">
        <f t="shared" ref="L53:L65" si="7">IFERROR(K53-I53,"-")</f>
        <v>0.3543917050052805</v>
      </c>
      <c r="M53" s="220">
        <v>7.7086852477477477</v>
      </c>
      <c r="N53" s="221">
        <f>IFERROR(M53-K53,"-")</f>
        <v>-0.21530806422104121</v>
      </c>
    </row>
    <row r="54" spans="1:15" x14ac:dyDescent="0.25">
      <c r="A54" s="1"/>
      <c r="B54" s="145" t="s">
        <v>75</v>
      </c>
      <c r="C54" s="220">
        <v>7.6288147622427251</v>
      </c>
      <c r="D54" s="221">
        <v>-0.22527807205583095</v>
      </c>
      <c r="E54" s="220" t="s">
        <v>252</v>
      </c>
      <c r="F54" s="221" t="str">
        <f t="shared" si="6"/>
        <v>-</v>
      </c>
      <c r="G54" s="220">
        <v>6.6174134790528232</v>
      </c>
      <c r="H54" s="221" t="str">
        <f t="shared" si="6"/>
        <v>-</v>
      </c>
      <c r="I54" s="220">
        <v>7.1070247129791788</v>
      </c>
      <c r="J54" s="221">
        <f t="shared" si="6"/>
        <v>0.48961123392635564</v>
      </c>
      <c r="K54" s="220">
        <v>7.2324605998983227</v>
      </c>
      <c r="L54" s="221">
        <f t="shared" si="7"/>
        <v>0.12543588691914387</v>
      </c>
      <c r="M54" s="220">
        <v>7.367411718026716</v>
      </c>
      <c r="N54" s="221">
        <f t="shared" ref="N54:N61" si="8">IFERROR(M54-K54,"-")</f>
        <v>0.13495111812839333</v>
      </c>
    </row>
    <row r="55" spans="1:15" x14ac:dyDescent="0.25">
      <c r="A55" s="1"/>
      <c r="B55" s="145" t="s">
        <v>77</v>
      </c>
      <c r="C55" s="220">
        <v>8.848810437452034</v>
      </c>
      <c r="D55" s="221">
        <v>1.4140643511595563</v>
      </c>
      <c r="E55" s="220" t="s">
        <v>252</v>
      </c>
      <c r="F55" s="221" t="str">
        <f t="shared" si="6"/>
        <v>-</v>
      </c>
      <c r="G55" s="220">
        <v>6.8081226387678004</v>
      </c>
      <c r="H55" s="221" t="str">
        <f t="shared" si="6"/>
        <v>-</v>
      </c>
      <c r="I55" s="220">
        <v>7.0281066163120052</v>
      </c>
      <c r="J55" s="221">
        <f t="shared" si="6"/>
        <v>0.21998397754420473</v>
      </c>
      <c r="K55" s="220">
        <v>6.6665713795666344</v>
      </c>
      <c r="L55" s="221">
        <f t="shared" si="7"/>
        <v>-0.3615352367453708</v>
      </c>
      <c r="M55" s="220">
        <v>7.0097489486427937</v>
      </c>
      <c r="N55" s="221">
        <f t="shared" si="8"/>
        <v>0.34317756907615937</v>
      </c>
    </row>
    <row r="56" spans="1:15" x14ac:dyDescent="0.25">
      <c r="A56" s="1"/>
      <c r="B56" s="145" t="s">
        <v>79</v>
      </c>
      <c r="C56" s="220" t="s">
        <v>252</v>
      </c>
      <c r="D56" s="221" t="s">
        <v>252</v>
      </c>
      <c r="E56" s="220" t="s">
        <v>252</v>
      </c>
      <c r="F56" s="221" t="str">
        <f t="shared" si="6"/>
        <v>-</v>
      </c>
      <c r="G56" s="220">
        <v>6.5498000499875033</v>
      </c>
      <c r="H56" s="221" t="str">
        <f t="shared" si="6"/>
        <v>-</v>
      </c>
      <c r="I56" s="220">
        <v>6.4091439688715957</v>
      </c>
      <c r="J56" s="221">
        <f t="shared" si="6"/>
        <v>-0.14065608111590766</v>
      </c>
      <c r="K56" s="220">
        <v>7.219209496829893</v>
      </c>
      <c r="L56" s="221">
        <f t="shared" si="7"/>
        <v>0.81006552795829734</v>
      </c>
      <c r="M56" s="220">
        <v>6.8985964460468709</v>
      </c>
      <c r="N56" s="221">
        <f t="shared" si="8"/>
        <v>-0.32061305078302205</v>
      </c>
    </row>
    <row r="57" spans="1:15" x14ac:dyDescent="0.25">
      <c r="A57" s="1"/>
      <c r="B57" s="145" t="s">
        <v>81</v>
      </c>
      <c r="C57" s="220" t="s">
        <v>252</v>
      </c>
      <c r="D57" s="221" t="s">
        <v>252</v>
      </c>
      <c r="E57" s="220" t="s">
        <v>252</v>
      </c>
      <c r="F57" s="221" t="str">
        <f t="shared" si="6"/>
        <v>-</v>
      </c>
      <c r="G57" s="220">
        <v>6.3911605532170777</v>
      </c>
      <c r="H57" s="221" t="str">
        <f t="shared" si="6"/>
        <v>-</v>
      </c>
      <c r="I57" s="220">
        <v>6.6776628459603016</v>
      </c>
      <c r="J57" s="221">
        <f t="shared" si="6"/>
        <v>0.28650229274322392</v>
      </c>
      <c r="K57" s="220">
        <v>7.0987581312832644</v>
      </c>
      <c r="L57" s="221">
        <f t="shared" si="7"/>
        <v>0.42109528532296281</v>
      </c>
      <c r="M57" s="220">
        <v>8.7607566765578628</v>
      </c>
      <c r="N57" s="221">
        <f t="shared" si="8"/>
        <v>1.6619985452745984</v>
      </c>
    </row>
    <row r="58" spans="1:15" x14ac:dyDescent="0.25">
      <c r="A58" s="1"/>
      <c r="B58" s="145" t="s">
        <v>83</v>
      </c>
      <c r="C58" s="220" t="s">
        <v>252</v>
      </c>
      <c r="D58" s="221" t="s">
        <v>252</v>
      </c>
      <c r="E58" s="220" t="s">
        <v>252</v>
      </c>
      <c r="F58" s="221" t="str">
        <f t="shared" si="6"/>
        <v>-</v>
      </c>
      <c r="G58" s="220">
        <v>7.6223715960013791</v>
      </c>
      <c r="H58" s="221" t="str">
        <f t="shared" si="6"/>
        <v>-</v>
      </c>
      <c r="I58" s="220">
        <v>7.1394742559200521</v>
      </c>
      <c r="J58" s="221">
        <f t="shared" si="6"/>
        <v>-0.48289734008132701</v>
      </c>
      <c r="K58" s="220">
        <v>7.222138964577657</v>
      </c>
      <c r="L58" s="221">
        <f t="shared" si="7"/>
        <v>8.2664708657604891E-2</v>
      </c>
      <c r="M58" s="220">
        <v>7.2048691170486912</v>
      </c>
      <c r="N58" s="221">
        <f t="shared" si="8"/>
        <v>-1.7269847528965876E-2</v>
      </c>
    </row>
    <row r="59" spans="1:15" x14ac:dyDescent="0.25">
      <c r="A59" s="1"/>
      <c r="B59" s="145" t="s">
        <v>85</v>
      </c>
      <c r="C59" s="220" t="s">
        <v>252</v>
      </c>
      <c r="D59" s="221" t="s">
        <v>252</v>
      </c>
      <c r="E59" s="220">
        <v>6.5758733624454146</v>
      </c>
      <c r="F59" s="221" t="str">
        <f t="shared" si="6"/>
        <v>-</v>
      </c>
      <c r="G59" s="220">
        <v>7.7461226264676037</v>
      </c>
      <c r="H59" s="221">
        <f t="shared" si="6"/>
        <v>1.1702492640221891</v>
      </c>
      <c r="I59" s="220">
        <v>7.1045693075643159</v>
      </c>
      <c r="J59" s="221">
        <f t="shared" si="6"/>
        <v>-0.64155331890328782</v>
      </c>
      <c r="K59" s="220">
        <v>7.3560683324834271</v>
      </c>
      <c r="L59" s="221">
        <f t="shared" si="7"/>
        <v>0.25149902491911114</v>
      </c>
      <c r="M59" s="220">
        <v>6.848147736121927</v>
      </c>
      <c r="N59" s="221">
        <f t="shared" si="8"/>
        <v>-0.50792059636150011</v>
      </c>
    </row>
    <row r="60" spans="1:15" x14ac:dyDescent="0.25">
      <c r="A60" s="1"/>
      <c r="B60" s="145" t="s">
        <v>87</v>
      </c>
      <c r="C60" s="220">
        <v>4.7418665400142483</v>
      </c>
      <c r="D60" s="221">
        <v>-2.2227567206840977</v>
      </c>
      <c r="E60" s="220">
        <v>5.4869713369412709</v>
      </c>
      <c r="F60" s="221">
        <f t="shared" si="6"/>
        <v>0.74510479692702258</v>
      </c>
      <c r="G60" s="220">
        <v>7.6563286361348766</v>
      </c>
      <c r="H60" s="221">
        <f t="shared" si="6"/>
        <v>2.1693572991936056</v>
      </c>
      <c r="I60" s="220">
        <v>7.7446084724005138</v>
      </c>
      <c r="J60" s="221">
        <f t="shared" si="6"/>
        <v>8.8279836265637179E-2</v>
      </c>
      <c r="K60" s="220">
        <v>7.669089242454004</v>
      </c>
      <c r="L60" s="221">
        <f t="shared" si="7"/>
        <v>-7.5519229946509725E-2</v>
      </c>
      <c r="M60" s="220">
        <v>8.2811066314472406</v>
      </c>
      <c r="N60" s="221">
        <f t="shared" si="8"/>
        <v>0.61201738899323654</v>
      </c>
    </row>
    <row r="61" spans="1:15" x14ac:dyDescent="0.25">
      <c r="A61" s="1"/>
      <c r="B61" s="145" t="s">
        <v>89</v>
      </c>
      <c r="C61" s="220" t="s">
        <v>252</v>
      </c>
      <c r="D61" s="221" t="s">
        <v>252</v>
      </c>
      <c r="E61" s="220">
        <v>6.1032858936793639</v>
      </c>
      <c r="F61" s="221" t="str">
        <f t="shared" si="6"/>
        <v>-</v>
      </c>
      <c r="G61" s="220">
        <v>7.0747476304230563</v>
      </c>
      <c r="H61" s="221">
        <f t="shared" si="6"/>
        <v>0.97146173674369241</v>
      </c>
      <c r="I61" s="220">
        <v>7.0548697823760254</v>
      </c>
      <c r="J61" s="221">
        <f t="shared" si="6"/>
        <v>-1.9877848047030966E-2</v>
      </c>
      <c r="K61" s="220">
        <v>7.4543844791746858</v>
      </c>
      <c r="L61" s="221">
        <f t="shared" si="7"/>
        <v>0.39951469679866047</v>
      </c>
      <c r="M61" s="220">
        <v>6.7072241008300031</v>
      </c>
      <c r="N61" s="221">
        <f t="shared" si="8"/>
        <v>-0.74716037834468274</v>
      </c>
    </row>
    <row r="62" spans="1:15" x14ac:dyDescent="0.25">
      <c r="A62" s="1"/>
      <c r="B62" s="145" t="s">
        <v>91</v>
      </c>
      <c r="C62" s="220" t="s">
        <v>252</v>
      </c>
      <c r="D62" s="221" t="s">
        <v>252</v>
      </c>
      <c r="E62" s="220">
        <v>6.2974696288341496</v>
      </c>
      <c r="F62" s="221" t="str">
        <f t="shared" si="6"/>
        <v>-</v>
      </c>
      <c r="G62" s="220">
        <v>7.0171175404443851</v>
      </c>
      <c r="H62" s="221">
        <f t="shared" si="6"/>
        <v>0.71964791161023545</v>
      </c>
      <c r="I62" s="220">
        <v>7.3329767822311709</v>
      </c>
      <c r="J62" s="221">
        <f t="shared" si="6"/>
        <v>0.31585924178678582</v>
      </c>
      <c r="K62" s="220">
        <v>6.8535038932146826</v>
      </c>
      <c r="L62" s="221">
        <f t="shared" si="7"/>
        <v>-0.47947288901648832</v>
      </c>
      <c r="M62" s="220"/>
      <c r="N62" s="221"/>
    </row>
    <row r="63" spans="1:15" x14ac:dyDescent="0.25">
      <c r="A63" s="1"/>
      <c r="B63" s="145" t="s">
        <v>93</v>
      </c>
      <c r="C63" s="220" t="s">
        <v>252</v>
      </c>
      <c r="D63" s="221" t="s">
        <v>252</v>
      </c>
      <c r="E63" s="220">
        <v>7.1325370675453046</v>
      </c>
      <c r="F63" s="221" t="str">
        <f t="shared" si="6"/>
        <v>-</v>
      </c>
      <c r="G63" s="220">
        <v>7.4343215592562171</v>
      </c>
      <c r="H63" s="221">
        <f t="shared" si="6"/>
        <v>0.30178449171091248</v>
      </c>
      <c r="I63" s="220">
        <v>7.0038556349156185</v>
      </c>
      <c r="J63" s="221">
        <f t="shared" si="6"/>
        <v>-0.4304659243405986</v>
      </c>
      <c r="K63" s="220">
        <v>7.313558145989453</v>
      </c>
      <c r="L63" s="221">
        <f t="shared" si="7"/>
        <v>0.30970251107383451</v>
      </c>
      <c r="M63" s="220"/>
      <c r="N63" s="221"/>
    </row>
    <row r="64" spans="1:15" x14ac:dyDescent="0.25">
      <c r="A64" s="1"/>
      <c r="B64" s="145" t="s">
        <v>95</v>
      </c>
      <c r="C64" s="220" t="s">
        <v>252</v>
      </c>
      <c r="D64" s="221" t="s">
        <v>252</v>
      </c>
      <c r="E64" s="220">
        <v>6.3402881271733733</v>
      </c>
      <c r="F64" s="221" t="str">
        <f t="shared" si="6"/>
        <v>-</v>
      </c>
      <c r="G64" s="220">
        <v>6.6331723867936843</v>
      </c>
      <c r="H64" s="221">
        <f t="shared" si="6"/>
        <v>0.29288425962031095</v>
      </c>
      <c r="I64" s="220">
        <v>6.6860472644868887</v>
      </c>
      <c r="J64" s="221">
        <f t="shared" si="6"/>
        <v>5.2874877693204425E-2</v>
      </c>
      <c r="K64" s="220">
        <v>7.1532647919929193</v>
      </c>
      <c r="L64" s="221">
        <f t="shared" si="7"/>
        <v>0.46721752750603063</v>
      </c>
      <c r="M64" s="220"/>
      <c r="N64" s="221"/>
    </row>
    <row r="65" spans="1:15" ht="15.75" x14ac:dyDescent="0.25">
      <c r="B65" s="148" t="s">
        <v>32</v>
      </c>
      <c r="C65" s="222" t="s">
        <v>252</v>
      </c>
      <c r="D65" s="223" t="s">
        <v>252</v>
      </c>
      <c r="E65" s="222">
        <v>5.6931988597987475</v>
      </c>
      <c r="F65" s="223" t="str">
        <f t="shared" si="6"/>
        <v>-</v>
      </c>
      <c r="G65" s="222">
        <v>7.0897793341589743</v>
      </c>
      <c r="H65" s="223">
        <f t="shared" si="6"/>
        <v>1.3965804743602268</v>
      </c>
      <c r="I65" s="222">
        <v>7.0736233461824725</v>
      </c>
      <c r="J65" s="223">
        <f t="shared" si="6"/>
        <v>-1.6155987976501862E-2</v>
      </c>
      <c r="K65" s="222">
        <v>7.2451577712929884</v>
      </c>
      <c r="L65" s="223">
        <f t="shared" si="7"/>
        <v>0.17153442511051598</v>
      </c>
      <c r="M65" s="222">
        <v>7.3499981442304128</v>
      </c>
      <c r="N65" s="223">
        <v>5.048839787061965E-2</v>
      </c>
    </row>
    <row r="66" spans="1:15" ht="6" customHeight="1" x14ac:dyDescent="0.25"/>
    <row r="67" spans="1:15" x14ac:dyDescent="0.25">
      <c r="B67" s="131" t="s">
        <v>57</v>
      </c>
      <c r="C67" s="228"/>
      <c r="D67" s="228"/>
      <c r="E67" s="228"/>
      <c r="F67" s="228"/>
      <c r="G67" s="228"/>
      <c r="H67" s="228"/>
      <c r="I67" s="228"/>
      <c r="J67" s="228"/>
      <c r="K67" s="228"/>
      <c r="L67" s="228"/>
      <c r="M67" s="228"/>
      <c r="N67" s="228"/>
    </row>
    <row r="70" spans="1:15" ht="48.75" customHeight="1" thickBot="1" x14ac:dyDescent="0.3">
      <c r="B70" s="12" t="s">
        <v>306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" t="s">
        <v>103</v>
      </c>
    </row>
    <row r="71" spans="1:15" ht="10.5" customHeight="1" thickBot="1" x14ac:dyDescent="0.3">
      <c r="B71" s="132"/>
      <c r="C71" s="224"/>
      <c r="D71" s="224"/>
      <c r="E71" s="224"/>
      <c r="F71" s="224"/>
      <c r="G71" s="224"/>
      <c r="H71" s="224"/>
      <c r="I71" s="224"/>
      <c r="J71" s="224"/>
      <c r="K71" s="224"/>
      <c r="L71" s="224"/>
      <c r="M71" s="48"/>
      <c r="N71" s="48"/>
      <c r="O71" s="1" t="s">
        <v>104</v>
      </c>
    </row>
    <row r="72" spans="1:15" ht="22.5" thickTop="1" thickBot="1" x14ac:dyDescent="0.3">
      <c r="B72" s="137"/>
      <c r="C72" s="225" t="s">
        <v>64</v>
      </c>
      <c r="D72" s="226"/>
      <c r="E72" s="226"/>
      <c r="F72" s="226"/>
      <c r="G72" s="226"/>
      <c r="H72" s="226"/>
      <c r="I72" s="226"/>
      <c r="J72" s="226"/>
      <c r="K72" s="226"/>
      <c r="L72" s="226"/>
      <c r="M72" s="226"/>
      <c r="N72" s="226"/>
    </row>
    <row r="73" spans="1:15" ht="22.5" thickTop="1" thickBot="1" x14ac:dyDescent="0.3">
      <c r="B73" s="137"/>
      <c r="C73" s="138">
        <v>2020</v>
      </c>
      <c r="D73" s="139"/>
      <c r="E73" s="140">
        <v>2021</v>
      </c>
      <c r="F73" s="139"/>
      <c r="G73" s="140">
        <v>2022</v>
      </c>
      <c r="H73" s="139"/>
      <c r="I73" s="140">
        <v>2023</v>
      </c>
      <c r="J73" s="139"/>
      <c r="K73" s="140">
        <v>2024</v>
      </c>
      <c r="L73" s="139"/>
      <c r="M73" s="140">
        <f>M$7</f>
        <v>2025</v>
      </c>
      <c r="N73" s="141"/>
    </row>
    <row r="74" spans="1:15" ht="16.5" thickTop="1" thickBot="1" x14ac:dyDescent="0.3">
      <c r="B74" s="109"/>
      <c r="C74" s="142" t="s">
        <v>71</v>
      </c>
      <c r="D74" s="143" t="str">
        <f>CONCATENATE("dif ",RIGHT(C73,2),"/",RIGHT(C73-1,2))</f>
        <v>dif 20/19</v>
      </c>
      <c r="E74" s="144" t="s">
        <v>71</v>
      </c>
      <c r="F74" s="143" t="str">
        <f>CONCATENATE("dif ",RIGHT(E73,2),"/",RIGHT(C73,2))</f>
        <v>dif 21/20</v>
      </c>
      <c r="G74" s="144" t="s">
        <v>71</v>
      </c>
      <c r="H74" s="143" t="str">
        <f>CONCATENATE("dif ",RIGHT(G73,2),"/",RIGHT(E73,2))</f>
        <v>dif 22/21</v>
      </c>
      <c r="I74" s="144" t="s">
        <v>71</v>
      </c>
      <c r="J74" s="143" t="str">
        <f>CONCATENATE("dif ",RIGHT(I73,2),"/",RIGHT(G73,2))</f>
        <v>dif 23/22</v>
      </c>
      <c r="K74" s="144" t="s">
        <v>71</v>
      </c>
      <c r="L74" s="143" t="str">
        <f>CONCATENATE("dif ",RIGHT(K73,2),"/",RIGHT(I73,2))</f>
        <v>dif 24/23</v>
      </c>
      <c r="M74" s="144" t="s">
        <v>71</v>
      </c>
      <c r="N74" s="143" t="str">
        <f>CONCATENATE("def ",RIGHT(M73,2),"/",RIGHT(K73,2))</f>
        <v>def 25/24</v>
      </c>
    </row>
    <row r="75" spans="1:15" x14ac:dyDescent="0.25">
      <c r="A75" s="1"/>
      <c r="B75" s="145" t="s">
        <v>73</v>
      </c>
      <c r="C75" s="220">
        <v>9.5154714233709505</v>
      </c>
      <c r="D75" s="221">
        <v>1.2690286231432903</v>
      </c>
      <c r="E75" s="220" t="s">
        <v>252</v>
      </c>
      <c r="F75" s="221" t="str">
        <f t="shared" ref="F75:J87" si="9">IFERROR(E75-C75,"-")</f>
        <v>-</v>
      </c>
      <c r="G75" s="220">
        <v>5.8678739101274315</v>
      </c>
      <c r="H75" s="221" t="str">
        <f t="shared" si="9"/>
        <v>-</v>
      </c>
      <c r="I75" s="220">
        <v>6.2030573983270836</v>
      </c>
      <c r="J75" s="221">
        <f t="shared" si="9"/>
        <v>0.33518348819965205</v>
      </c>
      <c r="K75" s="220">
        <v>7.2678207739307537</v>
      </c>
      <c r="L75" s="221">
        <f t="shared" ref="L75:L87" si="10">IFERROR(K75-I75,"-")</f>
        <v>1.0647633756036701</v>
      </c>
      <c r="M75" s="220">
        <v>7.3472718001019892</v>
      </c>
      <c r="N75" s="221">
        <f>IFERROR(M75-K75,"-")</f>
        <v>7.9451026171235561E-2</v>
      </c>
    </row>
    <row r="76" spans="1:15" x14ac:dyDescent="0.25">
      <c r="A76" s="1"/>
      <c r="B76" s="145" t="s">
        <v>75</v>
      </c>
      <c r="C76" s="220">
        <v>8.580380577427821</v>
      </c>
      <c r="D76" s="221">
        <v>2.816912132071228</v>
      </c>
      <c r="E76" s="220" t="s">
        <v>252</v>
      </c>
      <c r="F76" s="221" t="str">
        <f t="shared" si="9"/>
        <v>-</v>
      </c>
      <c r="G76" s="220">
        <v>5.999748427672956</v>
      </c>
      <c r="H76" s="221" t="str">
        <f t="shared" si="9"/>
        <v>-</v>
      </c>
      <c r="I76" s="220">
        <v>5.2008991289688113</v>
      </c>
      <c r="J76" s="221">
        <f t="shared" si="9"/>
        <v>-0.79884929870414467</v>
      </c>
      <c r="K76" s="220">
        <v>6.3748866727107885</v>
      </c>
      <c r="L76" s="221">
        <f t="shared" si="10"/>
        <v>1.1739875437419771</v>
      </c>
      <c r="M76" s="220">
        <v>6.5530456852791881</v>
      </c>
      <c r="N76" s="221">
        <f t="shared" ref="N76:N83" si="11">IFERROR(M76-K76,"-")</f>
        <v>0.17815901256839961</v>
      </c>
    </row>
    <row r="77" spans="1:15" x14ac:dyDescent="0.25">
      <c r="A77" s="1"/>
      <c r="B77" s="145" t="s">
        <v>77</v>
      </c>
      <c r="C77" s="220">
        <v>13.32776617954071</v>
      </c>
      <c r="D77" s="221">
        <v>7.0527980537438548</v>
      </c>
      <c r="E77" s="220" t="s">
        <v>252</v>
      </c>
      <c r="F77" s="221" t="str">
        <f t="shared" si="9"/>
        <v>-</v>
      </c>
      <c r="G77" s="220">
        <v>6.9111833875406559</v>
      </c>
      <c r="H77" s="221" t="str">
        <f t="shared" si="9"/>
        <v>-</v>
      </c>
      <c r="I77" s="220">
        <v>5.6217860105059438</v>
      </c>
      <c r="J77" s="221">
        <f t="shared" si="9"/>
        <v>-1.289397377034712</v>
      </c>
      <c r="K77" s="220">
        <v>6.2699807156631673</v>
      </c>
      <c r="L77" s="221">
        <f t="shared" si="10"/>
        <v>0.64819470515722344</v>
      </c>
      <c r="M77" s="220">
        <v>6.1735346813411827</v>
      </c>
      <c r="N77" s="221">
        <f t="shared" si="11"/>
        <v>-9.6446034321984619E-2</v>
      </c>
    </row>
    <row r="78" spans="1:15" x14ac:dyDescent="0.25">
      <c r="A78" s="1"/>
      <c r="B78" s="145" t="s">
        <v>79</v>
      </c>
      <c r="C78" s="220" t="s">
        <v>252</v>
      </c>
      <c r="D78" s="221" t="s">
        <v>252</v>
      </c>
      <c r="E78" s="220" t="s">
        <v>252</v>
      </c>
      <c r="F78" s="221" t="str">
        <f t="shared" si="9"/>
        <v>-</v>
      </c>
      <c r="G78" s="220">
        <v>6.3370757846389383</v>
      </c>
      <c r="H78" s="221" t="str">
        <f t="shared" si="9"/>
        <v>-</v>
      </c>
      <c r="I78" s="220">
        <v>5.5025562372188137</v>
      </c>
      <c r="J78" s="221">
        <f t="shared" si="9"/>
        <v>-0.83451954742012457</v>
      </c>
      <c r="K78" s="220">
        <v>6.5540688148552704</v>
      </c>
      <c r="L78" s="221">
        <f t="shared" si="10"/>
        <v>1.0515125776364567</v>
      </c>
      <c r="M78" s="220">
        <v>6.5337837837837842</v>
      </c>
      <c r="N78" s="221">
        <f t="shared" si="11"/>
        <v>-2.0285031071486159E-2</v>
      </c>
    </row>
    <row r="79" spans="1:15" x14ac:dyDescent="0.25">
      <c r="A79" s="1"/>
      <c r="B79" s="145" t="s">
        <v>81</v>
      </c>
      <c r="C79" s="220" t="s">
        <v>252</v>
      </c>
      <c r="D79" s="221" t="s">
        <v>252</v>
      </c>
      <c r="E79" s="220" t="s">
        <v>252</v>
      </c>
      <c r="F79" s="221" t="str">
        <f t="shared" si="9"/>
        <v>-</v>
      </c>
      <c r="G79" s="220">
        <v>6.2233920805676357</v>
      </c>
      <c r="H79" s="221" t="str">
        <f t="shared" si="9"/>
        <v>-</v>
      </c>
      <c r="I79" s="220">
        <v>6.6105027376804379</v>
      </c>
      <c r="J79" s="221">
        <f t="shared" si="9"/>
        <v>0.38711065711280224</v>
      </c>
      <c r="K79" s="220">
        <v>6.9784921892687342</v>
      </c>
      <c r="L79" s="221">
        <f t="shared" si="10"/>
        <v>0.36798945158829621</v>
      </c>
      <c r="M79" s="220">
        <v>5.6585104099592183</v>
      </c>
      <c r="N79" s="221">
        <f t="shared" si="11"/>
        <v>-1.3199817793095159</v>
      </c>
    </row>
    <row r="80" spans="1:15" x14ac:dyDescent="0.25">
      <c r="A80" s="1"/>
      <c r="B80" s="145" t="s">
        <v>83</v>
      </c>
      <c r="C80" s="220" t="s">
        <v>252</v>
      </c>
      <c r="D80" s="221" t="s">
        <v>252</v>
      </c>
      <c r="E80" s="220" t="s">
        <v>252</v>
      </c>
      <c r="F80" s="221" t="str">
        <f t="shared" si="9"/>
        <v>-</v>
      </c>
      <c r="G80" s="220">
        <v>6.5052606967500584</v>
      </c>
      <c r="H80" s="221" t="str">
        <f t="shared" si="9"/>
        <v>-</v>
      </c>
      <c r="I80" s="220">
        <v>6.2337695017614498</v>
      </c>
      <c r="J80" s="221">
        <f t="shared" si="9"/>
        <v>-0.27149119498860852</v>
      </c>
      <c r="K80" s="220">
        <v>6.792074896581755</v>
      </c>
      <c r="L80" s="221">
        <f t="shared" si="10"/>
        <v>0.55830539482030517</v>
      </c>
      <c r="M80" s="220">
        <v>5.7662775033677596</v>
      </c>
      <c r="N80" s="221">
        <f t="shared" si="11"/>
        <v>-1.0257973932139954</v>
      </c>
    </row>
    <row r="81" spans="1:15" x14ac:dyDescent="0.25">
      <c r="A81" s="1"/>
      <c r="B81" s="145" t="s">
        <v>85</v>
      </c>
      <c r="C81" s="220" t="s">
        <v>252</v>
      </c>
      <c r="D81" s="221" t="s">
        <v>252</v>
      </c>
      <c r="E81" s="220">
        <v>4.7408602150537638</v>
      </c>
      <c r="F81" s="221" t="str">
        <f t="shared" si="9"/>
        <v>-</v>
      </c>
      <c r="G81" s="220">
        <v>6.0040444893832152</v>
      </c>
      <c r="H81" s="221">
        <f t="shared" si="9"/>
        <v>1.2631842743294515</v>
      </c>
      <c r="I81" s="220">
        <v>6.2574150248971643</v>
      </c>
      <c r="J81" s="221">
        <f t="shared" si="9"/>
        <v>0.25337053551394906</v>
      </c>
      <c r="K81" s="220">
        <v>6.4991735537190083</v>
      </c>
      <c r="L81" s="221">
        <f t="shared" si="10"/>
        <v>0.24175852882184401</v>
      </c>
      <c r="M81" s="220">
        <v>6.3316348195329084</v>
      </c>
      <c r="N81" s="221">
        <f t="shared" si="11"/>
        <v>-0.16753873418609988</v>
      </c>
    </row>
    <row r="82" spans="1:15" x14ac:dyDescent="0.25">
      <c r="A82" s="1"/>
      <c r="B82" s="145" t="s">
        <v>87</v>
      </c>
      <c r="C82" s="220">
        <v>3.9015760694757158</v>
      </c>
      <c r="D82" s="221">
        <v>-5.5490024429209779</v>
      </c>
      <c r="E82" s="220">
        <v>4.2553735926305016</v>
      </c>
      <c r="F82" s="221">
        <f t="shared" si="9"/>
        <v>0.35379752315478585</v>
      </c>
      <c r="G82" s="220">
        <v>6.4222270837891049</v>
      </c>
      <c r="H82" s="221">
        <f t="shared" si="9"/>
        <v>2.1668534911586033</v>
      </c>
      <c r="I82" s="220">
        <v>6.1968405736853045</v>
      </c>
      <c r="J82" s="221">
        <f t="shared" si="9"/>
        <v>-0.2253865101038004</v>
      </c>
      <c r="K82" s="220">
        <v>5.9193854324734447</v>
      </c>
      <c r="L82" s="221">
        <f t="shared" si="10"/>
        <v>-0.27745514121185977</v>
      </c>
      <c r="M82" s="220">
        <v>5.8554030543205107</v>
      </c>
      <c r="N82" s="221">
        <f t="shared" si="11"/>
        <v>-6.3982378152934061E-2</v>
      </c>
    </row>
    <row r="83" spans="1:15" x14ac:dyDescent="0.25">
      <c r="A83" s="1"/>
      <c r="B83" s="145" t="s">
        <v>89</v>
      </c>
      <c r="C83" s="220" t="s">
        <v>252</v>
      </c>
      <c r="D83" s="221" t="s">
        <v>252</v>
      </c>
      <c r="E83" s="220">
        <v>5.3142857142857141</v>
      </c>
      <c r="F83" s="221" t="str">
        <f t="shared" si="9"/>
        <v>-</v>
      </c>
      <c r="G83" s="220">
        <v>6.3658969804618115</v>
      </c>
      <c r="H83" s="221">
        <f t="shared" si="9"/>
        <v>1.0516112661760975</v>
      </c>
      <c r="I83" s="220">
        <v>6.8024271844660191</v>
      </c>
      <c r="J83" s="221">
        <f t="shared" si="9"/>
        <v>0.43653020400420761</v>
      </c>
      <c r="K83" s="220">
        <v>6.0145369284876908</v>
      </c>
      <c r="L83" s="221">
        <f t="shared" si="10"/>
        <v>-0.78789025597832829</v>
      </c>
      <c r="M83" s="220">
        <v>7.0437370600414075</v>
      </c>
      <c r="N83" s="221">
        <f t="shared" si="11"/>
        <v>1.0292001315537167</v>
      </c>
    </row>
    <row r="84" spans="1:15" x14ac:dyDescent="0.25">
      <c r="A84" s="1"/>
      <c r="B84" s="145" t="s">
        <v>91</v>
      </c>
      <c r="C84" s="220" t="s">
        <v>252</v>
      </c>
      <c r="D84" s="221" t="s">
        <v>252</v>
      </c>
      <c r="E84" s="220">
        <v>4.8935449735449739</v>
      </c>
      <c r="F84" s="221" t="str">
        <f t="shared" si="9"/>
        <v>-</v>
      </c>
      <c r="G84" s="220">
        <v>6.9023815755037949</v>
      </c>
      <c r="H84" s="221">
        <f t="shared" si="9"/>
        <v>2.0088366019588211</v>
      </c>
      <c r="I84" s="220">
        <v>5.767552387124649</v>
      </c>
      <c r="J84" s="221">
        <f t="shared" si="9"/>
        <v>-1.1348291883791459</v>
      </c>
      <c r="K84" s="220">
        <v>5.7592592592592595</v>
      </c>
      <c r="L84" s="221">
        <f t="shared" si="10"/>
        <v>-8.2931278653894935E-3</v>
      </c>
      <c r="M84" s="220"/>
      <c r="N84" s="221"/>
    </row>
    <row r="85" spans="1:15" x14ac:dyDescent="0.25">
      <c r="A85" s="1"/>
      <c r="B85" s="145" t="s">
        <v>93</v>
      </c>
      <c r="C85" s="220" t="s">
        <v>252</v>
      </c>
      <c r="D85" s="221" t="s">
        <v>252</v>
      </c>
      <c r="E85" s="220">
        <v>6.4027327466419637</v>
      </c>
      <c r="F85" s="221" t="str">
        <f t="shared" si="9"/>
        <v>-</v>
      </c>
      <c r="G85" s="220">
        <v>7.9150615724660565</v>
      </c>
      <c r="H85" s="221">
        <f t="shared" si="9"/>
        <v>1.5123288258240928</v>
      </c>
      <c r="I85" s="220">
        <v>5.8892329680800382</v>
      </c>
      <c r="J85" s="221">
        <f t="shared" si="9"/>
        <v>-2.0258286043860183</v>
      </c>
      <c r="K85" s="220">
        <v>6.3474596677100887</v>
      </c>
      <c r="L85" s="221">
        <f t="shared" si="10"/>
        <v>0.45822669963005058</v>
      </c>
      <c r="M85" s="220"/>
      <c r="N85" s="221"/>
    </row>
    <row r="86" spans="1:15" x14ac:dyDescent="0.25">
      <c r="A86" s="1"/>
      <c r="B86" s="145" t="s">
        <v>95</v>
      </c>
      <c r="C86" s="220" t="s">
        <v>252</v>
      </c>
      <c r="D86" s="221" t="s">
        <v>252</v>
      </c>
      <c r="E86" s="220">
        <v>5.9554879734586672</v>
      </c>
      <c r="F86" s="221" t="str">
        <f t="shared" si="9"/>
        <v>-</v>
      </c>
      <c r="G86" s="220">
        <v>7.6278865828705058</v>
      </c>
      <c r="H86" s="221">
        <f t="shared" si="9"/>
        <v>1.6723986094118386</v>
      </c>
      <c r="I86" s="220">
        <v>6.1138589618021548</v>
      </c>
      <c r="J86" s="221">
        <f t="shared" si="9"/>
        <v>-1.514027621068351</v>
      </c>
      <c r="K86" s="220">
        <v>6.5914120126448896</v>
      </c>
      <c r="L86" s="221">
        <f t="shared" si="10"/>
        <v>0.47755305084273481</v>
      </c>
      <c r="M86" s="220"/>
      <c r="N86" s="221"/>
    </row>
    <row r="87" spans="1:15" ht="15.75" x14ac:dyDescent="0.25">
      <c r="B87" s="148" t="s">
        <v>32</v>
      </c>
      <c r="C87" s="222" t="s">
        <v>252</v>
      </c>
      <c r="D87" s="223" t="s">
        <v>252</v>
      </c>
      <c r="E87" s="222">
        <v>4.826008140370079</v>
      </c>
      <c r="F87" s="223" t="str">
        <f t="shared" si="9"/>
        <v>-</v>
      </c>
      <c r="G87" s="222">
        <v>6.5524744117336713</v>
      </c>
      <c r="H87" s="223">
        <f t="shared" si="9"/>
        <v>1.7264662713635923</v>
      </c>
      <c r="I87" s="222">
        <v>6.0468086842964412</v>
      </c>
      <c r="J87" s="223">
        <f t="shared" si="9"/>
        <v>-0.50566572743723004</v>
      </c>
      <c r="K87" s="222">
        <v>6.4281585702062936</v>
      </c>
      <c r="L87" s="223">
        <f t="shared" si="10"/>
        <v>0.3813498859098523</v>
      </c>
      <c r="M87" s="222">
        <v>6.3217146286101906</v>
      </c>
      <c r="N87" s="223">
        <v>-0.1759885868881117</v>
      </c>
    </row>
    <row r="88" spans="1:15" ht="6" customHeight="1" x14ac:dyDescent="0.25"/>
    <row r="89" spans="1:15" x14ac:dyDescent="0.25">
      <c r="B89" s="131" t="s">
        <v>57</v>
      </c>
      <c r="C89" s="228"/>
      <c r="D89" s="228"/>
      <c r="E89" s="228"/>
      <c r="F89" s="228"/>
      <c r="G89" s="228"/>
      <c r="H89" s="228"/>
      <c r="I89" s="228"/>
      <c r="J89" s="228"/>
      <c r="K89" s="228"/>
      <c r="L89" s="228"/>
      <c r="M89" s="228"/>
      <c r="N89" s="228"/>
    </row>
    <row r="92" spans="1:15" ht="48.75" customHeight="1" thickBot="1" x14ac:dyDescent="0.3">
      <c r="B92" s="12" t="s">
        <v>307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" t="s">
        <v>116</v>
      </c>
    </row>
    <row r="93" spans="1:15" ht="10.5" customHeight="1" thickBot="1" x14ac:dyDescent="0.3">
      <c r="B93" s="132"/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48"/>
      <c r="N93" s="48"/>
      <c r="O93" s="1" t="s">
        <v>117</v>
      </c>
    </row>
    <row r="94" spans="1:15" ht="22.5" thickTop="1" thickBot="1" x14ac:dyDescent="0.3">
      <c r="B94" s="152" t="s">
        <v>98</v>
      </c>
      <c r="C94" s="225" t="s">
        <v>34</v>
      </c>
      <c r="D94" s="226"/>
      <c r="E94" s="226"/>
      <c r="F94" s="226"/>
      <c r="G94" s="226"/>
      <c r="H94" s="226"/>
      <c r="I94" s="226"/>
      <c r="J94" s="226"/>
      <c r="K94" s="226"/>
      <c r="L94" s="226"/>
      <c r="M94" s="226"/>
      <c r="N94" s="226"/>
    </row>
    <row r="95" spans="1:15" ht="22.5" thickTop="1" thickBot="1" x14ac:dyDescent="0.3">
      <c r="B95" s="137"/>
      <c r="C95" s="138">
        <v>2020</v>
      </c>
      <c r="D95" s="139"/>
      <c r="E95" s="140">
        <v>2021</v>
      </c>
      <c r="F95" s="139"/>
      <c r="G95" s="140">
        <v>2022</v>
      </c>
      <c r="H95" s="139"/>
      <c r="I95" s="140">
        <v>2023</v>
      </c>
      <c r="J95" s="139"/>
      <c r="K95" s="140">
        <v>2024</v>
      </c>
      <c r="L95" s="139"/>
      <c r="M95" s="140">
        <f>M$7</f>
        <v>2025</v>
      </c>
      <c r="N95" s="141"/>
    </row>
    <row r="96" spans="1:15" ht="16.5" thickTop="1" thickBot="1" x14ac:dyDescent="0.3">
      <c r="B96" s="109"/>
      <c r="C96" s="142" t="s">
        <v>71</v>
      </c>
      <c r="D96" s="143" t="str">
        <f>CONCATENATE("dif ",RIGHT(C95,2),"/",RIGHT(C95-1,2))</f>
        <v>dif 20/19</v>
      </c>
      <c r="E96" s="144" t="s">
        <v>71</v>
      </c>
      <c r="F96" s="143" t="str">
        <f>CONCATENATE("dif ",RIGHT(E95,2),"/",RIGHT(C95,2))</f>
        <v>dif 21/20</v>
      </c>
      <c r="G96" s="144" t="s">
        <v>71</v>
      </c>
      <c r="H96" s="143" t="str">
        <f>CONCATENATE("dif ",RIGHT(G95,2),"/",RIGHT(E95,2))</f>
        <v>dif 22/21</v>
      </c>
      <c r="I96" s="144" t="s">
        <v>71</v>
      </c>
      <c r="J96" s="143" t="str">
        <f>CONCATENATE("dif ",RIGHT(I95,2),"/",RIGHT(G95,2))</f>
        <v>dif 23/22</v>
      </c>
      <c r="K96" s="144" t="s">
        <v>71</v>
      </c>
      <c r="L96" s="143" t="str">
        <f>CONCATENATE("dif ",RIGHT(K95,2),"/",RIGHT(I95,2))</f>
        <v>dif 24/23</v>
      </c>
      <c r="M96" s="144" t="s">
        <v>71</v>
      </c>
      <c r="N96" s="143" t="str">
        <f>CONCATENATE("def ",RIGHT(M95,2),"/",RIGHT(K95,2))</f>
        <v>def 25/24</v>
      </c>
    </row>
    <row r="97" spans="2:14" x14ac:dyDescent="0.25">
      <c r="B97" s="145" t="s">
        <v>73</v>
      </c>
      <c r="C97" s="220">
        <v>8.5498812351543947</v>
      </c>
      <c r="D97" s="221">
        <v>0.97130451165550635</v>
      </c>
      <c r="E97" s="220">
        <v>7.459677419354839</v>
      </c>
      <c r="F97" s="221">
        <f t="shared" ref="F97:J109" si="12">IFERROR(E97-C97,"-")</f>
        <v>-1.0902038157995557</v>
      </c>
      <c r="G97" s="220">
        <v>7.1522573030392449</v>
      </c>
      <c r="H97" s="221">
        <f t="shared" si="12"/>
        <v>-0.30742011631559407</v>
      </c>
      <c r="I97" s="220">
        <v>7.1824853228962819</v>
      </c>
      <c r="J97" s="221">
        <f t="shared" si="12"/>
        <v>3.0228019857037047E-2</v>
      </c>
      <c r="K97" s="220">
        <v>7.124313186813187</v>
      </c>
      <c r="L97" s="221">
        <f t="shared" ref="L97:L109" si="13">IFERROR(K97-I97,"-")</f>
        <v>-5.8172136083094905E-2</v>
      </c>
      <c r="M97" s="220">
        <v>7.185766257389723</v>
      </c>
      <c r="N97" s="221">
        <f>IFERROR(M97-K97,"-")</f>
        <v>6.1453070576535929E-2</v>
      </c>
    </row>
    <row r="98" spans="2:14" x14ac:dyDescent="0.25">
      <c r="B98" s="145" t="s">
        <v>75</v>
      </c>
      <c r="C98" s="220">
        <v>7.4531813865147196</v>
      </c>
      <c r="D98" s="221">
        <v>-3.656445047038126E-2</v>
      </c>
      <c r="E98" s="220">
        <v>5.3148734177215191</v>
      </c>
      <c r="F98" s="221">
        <f t="shared" si="12"/>
        <v>-2.1383079687932005</v>
      </c>
      <c r="G98" s="220">
        <v>6.7112960161371662</v>
      </c>
      <c r="H98" s="221">
        <f t="shared" si="12"/>
        <v>1.3964225984156471</v>
      </c>
      <c r="I98" s="220">
        <v>6.8844282238442824</v>
      </c>
      <c r="J98" s="221">
        <f t="shared" si="12"/>
        <v>0.17313220770711624</v>
      </c>
      <c r="K98" s="220">
        <v>6.5791147627882323</v>
      </c>
      <c r="L98" s="221">
        <f t="shared" si="13"/>
        <v>-0.30531346105605017</v>
      </c>
      <c r="M98" s="220">
        <v>7.3258347146578258</v>
      </c>
      <c r="N98" s="221">
        <f t="shared" ref="N98:N105" si="14">IFERROR(M98-K98,"-")</f>
        <v>0.7467199518695935</v>
      </c>
    </row>
    <row r="99" spans="2:14" x14ac:dyDescent="0.25">
      <c r="B99" s="145" t="s">
        <v>77</v>
      </c>
      <c r="C99" s="220">
        <v>8.57847866419295</v>
      </c>
      <c r="D99" s="221">
        <v>2.0284403500167052</v>
      </c>
      <c r="E99" s="220">
        <v>4.8379487179487182</v>
      </c>
      <c r="F99" s="221">
        <f t="shared" si="12"/>
        <v>-3.7405299462442319</v>
      </c>
      <c r="G99" s="220">
        <v>6.1686800894854583</v>
      </c>
      <c r="H99" s="221">
        <f t="shared" si="12"/>
        <v>1.3307313715367401</v>
      </c>
      <c r="I99" s="220">
        <v>6.7464559609574719</v>
      </c>
      <c r="J99" s="221">
        <f t="shared" si="12"/>
        <v>0.57777587147201359</v>
      </c>
      <c r="K99" s="220">
        <v>5.9644093882262412</v>
      </c>
      <c r="L99" s="221">
        <f t="shared" si="13"/>
        <v>-0.78204657273123068</v>
      </c>
      <c r="M99" s="220">
        <v>7.2472490455872443</v>
      </c>
      <c r="N99" s="221">
        <f t="shared" si="14"/>
        <v>1.282839657361003</v>
      </c>
    </row>
    <row r="100" spans="2:14" x14ac:dyDescent="0.25">
      <c r="B100" s="145" t="s">
        <v>79</v>
      </c>
      <c r="C100" s="220" t="s">
        <v>252</v>
      </c>
      <c r="D100" s="221" t="s">
        <v>252</v>
      </c>
      <c r="E100" s="220">
        <v>4.4596036585365857</v>
      </c>
      <c r="F100" s="221" t="str">
        <f t="shared" si="12"/>
        <v>-</v>
      </c>
      <c r="G100" s="220">
        <v>5.7547217325610678</v>
      </c>
      <c r="H100" s="221">
        <f t="shared" si="12"/>
        <v>1.2951180740244821</v>
      </c>
      <c r="I100" s="220">
        <v>5.8959537572254339</v>
      </c>
      <c r="J100" s="221">
        <f t="shared" si="12"/>
        <v>0.14123202466436613</v>
      </c>
      <c r="K100" s="220">
        <v>6.3570083400591875</v>
      </c>
      <c r="L100" s="221">
        <f t="shared" si="13"/>
        <v>0.46105458283375356</v>
      </c>
      <c r="M100" s="220">
        <v>6.7478342308592838</v>
      </c>
      <c r="N100" s="221">
        <f t="shared" si="14"/>
        <v>0.39082589080009633</v>
      </c>
    </row>
    <row r="101" spans="2:14" x14ac:dyDescent="0.25">
      <c r="B101" s="145" t="s">
        <v>81</v>
      </c>
      <c r="C101" s="220" t="s">
        <v>252</v>
      </c>
      <c r="D101" s="221" t="s">
        <v>252</v>
      </c>
      <c r="E101" s="220">
        <v>3.953896103896104</v>
      </c>
      <c r="F101" s="221" t="str">
        <f t="shared" si="12"/>
        <v>-</v>
      </c>
      <c r="G101" s="220">
        <v>5.3110938712179987</v>
      </c>
      <c r="H101" s="221">
        <f t="shared" si="12"/>
        <v>1.3571977673218947</v>
      </c>
      <c r="I101" s="220">
        <v>5.6957466625271653</v>
      </c>
      <c r="J101" s="221">
        <f t="shared" si="12"/>
        <v>0.38465279130916663</v>
      </c>
      <c r="K101" s="220">
        <v>5.5242591135588777</v>
      </c>
      <c r="L101" s="221">
        <f t="shared" si="13"/>
        <v>-0.17148754896828766</v>
      </c>
      <c r="M101" s="220">
        <v>5.4668946982653308</v>
      </c>
      <c r="N101" s="221">
        <f t="shared" si="14"/>
        <v>-5.7364415293546855E-2</v>
      </c>
    </row>
    <row r="102" spans="2:14" x14ac:dyDescent="0.25">
      <c r="B102" s="145" t="s">
        <v>83</v>
      </c>
      <c r="C102" s="220" t="s">
        <v>252</v>
      </c>
      <c r="D102" s="221" t="s">
        <v>252</v>
      </c>
      <c r="E102" s="220">
        <v>4.488826815642458</v>
      </c>
      <c r="F102" s="221" t="str">
        <f t="shared" si="12"/>
        <v>-</v>
      </c>
      <c r="G102" s="220">
        <v>5.3068219633943432</v>
      </c>
      <c r="H102" s="221">
        <f t="shared" si="12"/>
        <v>0.8179951477518852</v>
      </c>
      <c r="I102" s="220">
        <v>5.7669104204753197</v>
      </c>
      <c r="J102" s="221">
        <f t="shared" si="12"/>
        <v>0.46008845708097645</v>
      </c>
      <c r="K102" s="220">
        <v>5.5762331838565027</v>
      </c>
      <c r="L102" s="221">
        <f t="shared" si="13"/>
        <v>-0.19067723661881697</v>
      </c>
      <c r="M102" s="220">
        <v>6.1121495327102799</v>
      </c>
      <c r="N102" s="221">
        <f t="shared" si="14"/>
        <v>0.53591634885377726</v>
      </c>
    </row>
    <row r="103" spans="2:14" x14ac:dyDescent="0.25">
      <c r="B103" s="145" t="s">
        <v>85</v>
      </c>
      <c r="C103" s="220" t="s">
        <v>252</v>
      </c>
      <c r="D103" s="221" t="s">
        <v>252</v>
      </c>
      <c r="E103" s="220">
        <v>6.0620796689084324</v>
      </c>
      <c r="F103" s="221" t="str">
        <f t="shared" si="12"/>
        <v>-</v>
      </c>
      <c r="G103" s="220">
        <v>5.2538919413919416</v>
      </c>
      <c r="H103" s="221">
        <f t="shared" si="12"/>
        <v>-0.80818772751649082</v>
      </c>
      <c r="I103" s="220">
        <v>6.5770280327462167</v>
      </c>
      <c r="J103" s="221">
        <f t="shared" si="12"/>
        <v>1.3231360913542751</v>
      </c>
      <c r="K103" s="220">
        <v>6.1647193585337918</v>
      </c>
      <c r="L103" s="221">
        <f t="shared" si="13"/>
        <v>-0.4123086742124249</v>
      </c>
      <c r="M103" s="220">
        <v>6.5442629179331311</v>
      </c>
      <c r="N103" s="221">
        <f t="shared" si="14"/>
        <v>0.37954355939933926</v>
      </c>
    </row>
    <row r="104" spans="2:14" x14ac:dyDescent="0.25">
      <c r="B104" s="145" t="s">
        <v>87</v>
      </c>
      <c r="C104" s="220">
        <v>4.7885487528344672</v>
      </c>
      <c r="D104" s="221">
        <v>-2.5236410734682622</v>
      </c>
      <c r="E104" s="220">
        <v>6.3088786994581074</v>
      </c>
      <c r="F104" s="221">
        <f t="shared" si="12"/>
        <v>1.5203299466236402</v>
      </c>
      <c r="G104" s="220">
        <v>6.5515267175572518</v>
      </c>
      <c r="H104" s="221">
        <f t="shared" si="12"/>
        <v>0.24264801809914438</v>
      </c>
      <c r="I104" s="220">
        <v>6.1520376175548588</v>
      </c>
      <c r="J104" s="221">
        <f t="shared" si="12"/>
        <v>-0.39948910000239302</v>
      </c>
      <c r="K104" s="220">
        <v>6.5305823209049016</v>
      </c>
      <c r="L104" s="221">
        <f t="shared" si="13"/>
        <v>0.37854470335004287</v>
      </c>
      <c r="M104" s="220">
        <v>6.7305084745762711</v>
      </c>
      <c r="N104" s="221">
        <f t="shared" si="14"/>
        <v>0.19992615367136946</v>
      </c>
    </row>
    <row r="105" spans="2:14" x14ac:dyDescent="0.25">
      <c r="B105" s="145" t="s">
        <v>89</v>
      </c>
      <c r="C105" s="220">
        <v>4.0127551020408161</v>
      </c>
      <c r="D105" s="221">
        <v>-3.2957266950157296</v>
      </c>
      <c r="E105" s="220">
        <v>5.477022058823529</v>
      </c>
      <c r="F105" s="221">
        <f t="shared" si="12"/>
        <v>1.4642669567827129</v>
      </c>
      <c r="G105" s="220">
        <v>5.9750933997509339</v>
      </c>
      <c r="H105" s="221">
        <f t="shared" si="12"/>
        <v>0.4980713409274049</v>
      </c>
      <c r="I105" s="220">
        <v>6.0209015361369929</v>
      </c>
      <c r="J105" s="221">
        <f t="shared" si="12"/>
        <v>4.5808136386058962E-2</v>
      </c>
      <c r="K105" s="220">
        <v>5.9559572301425661</v>
      </c>
      <c r="L105" s="221">
        <f t="shared" si="13"/>
        <v>-6.4944305994426799E-2</v>
      </c>
      <c r="M105" s="220">
        <v>6.7638081395348841</v>
      </c>
      <c r="N105" s="221">
        <f t="shared" si="14"/>
        <v>0.80785090939231807</v>
      </c>
    </row>
    <row r="106" spans="2:14" x14ac:dyDescent="0.25">
      <c r="B106" s="145" t="s">
        <v>91</v>
      </c>
      <c r="C106" s="220">
        <v>4.2004830917874392</v>
      </c>
      <c r="D106" s="221">
        <v>-2.4052353565826206</v>
      </c>
      <c r="E106" s="220">
        <v>5.7539817974971559</v>
      </c>
      <c r="F106" s="221">
        <f t="shared" si="12"/>
        <v>1.5534987057097167</v>
      </c>
      <c r="G106" s="220">
        <v>6.4300360210584646</v>
      </c>
      <c r="H106" s="221">
        <f t="shared" si="12"/>
        <v>0.67605422356130873</v>
      </c>
      <c r="I106" s="220">
        <v>6.1241917502787064</v>
      </c>
      <c r="J106" s="221">
        <f t="shared" si="12"/>
        <v>-0.30584427077975818</v>
      </c>
      <c r="K106" s="220">
        <v>5.8792705931670506</v>
      </c>
      <c r="L106" s="221">
        <f t="shared" si="13"/>
        <v>-0.24492115711165585</v>
      </c>
      <c r="M106" s="220"/>
      <c r="N106" s="221"/>
    </row>
    <row r="107" spans="2:14" x14ac:dyDescent="0.25">
      <c r="B107" s="145" t="s">
        <v>93</v>
      </c>
      <c r="C107" s="220">
        <v>7.1730038022813689</v>
      </c>
      <c r="D107" s="221">
        <v>3.489099258184325E-2</v>
      </c>
      <c r="E107" s="220">
        <v>6.8810650887573965</v>
      </c>
      <c r="F107" s="221">
        <f t="shared" si="12"/>
        <v>-0.29193871352397238</v>
      </c>
      <c r="G107" s="220">
        <v>6.2824596328245965</v>
      </c>
      <c r="H107" s="221">
        <f t="shared" si="12"/>
        <v>-0.59860545593280001</v>
      </c>
      <c r="I107" s="220">
        <v>6.8906399235912126</v>
      </c>
      <c r="J107" s="221">
        <f t="shared" si="12"/>
        <v>0.60818029076661606</v>
      </c>
      <c r="K107" s="220">
        <v>6.4353897457273863</v>
      </c>
      <c r="L107" s="221">
        <f t="shared" si="13"/>
        <v>-0.45525017786382627</v>
      </c>
      <c r="M107" s="220"/>
      <c r="N107" s="221"/>
    </row>
    <row r="108" spans="2:14" x14ac:dyDescent="0.25">
      <c r="B108" s="145" t="s">
        <v>95</v>
      </c>
      <c r="C108" s="220">
        <v>5.5751479289940828</v>
      </c>
      <c r="D108" s="221">
        <v>-1.0231398550032829</v>
      </c>
      <c r="E108" s="220">
        <v>6.1369528001956466</v>
      </c>
      <c r="F108" s="221">
        <f t="shared" si="12"/>
        <v>0.56180487120156375</v>
      </c>
      <c r="G108" s="220">
        <v>6.2551784927280742</v>
      </c>
      <c r="H108" s="221">
        <f t="shared" si="12"/>
        <v>0.11822569253242765</v>
      </c>
      <c r="I108" s="220">
        <v>6.5660091047040972</v>
      </c>
      <c r="J108" s="221">
        <f t="shared" si="12"/>
        <v>0.31083061197602291</v>
      </c>
      <c r="K108" s="220">
        <v>6.3361764094029542</v>
      </c>
      <c r="L108" s="221">
        <f t="shared" si="13"/>
        <v>-0.22983269530114292</v>
      </c>
      <c r="M108" s="220"/>
      <c r="N108" s="221"/>
    </row>
    <row r="109" spans="2:14" ht="15.75" x14ac:dyDescent="0.25">
      <c r="B109" s="148" t="s">
        <v>32</v>
      </c>
      <c r="C109" s="222">
        <v>7.0010211375472275</v>
      </c>
      <c r="D109" s="223">
        <v>0.22502895325510153</v>
      </c>
      <c r="E109" s="222">
        <v>5.7489897289105913</v>
      </c>
      <c r="F109" s="223">
        <f t="shared" si="12"/>
        <v>-1.2520314086366362</v>
      </c>
      <c r="G109" s="222">
        <v>6.1223728147711647</v>
      </c>
      <c r="H109" s="223">
        <f t="shared" si="12"/>
        <v>0.37338308586057334</v>
      </c>
      <c r="I109" s="222">
        <v>6.3953136352627755</v>
      </c>
      <c r="J109" s="223">
        <f t="shared" si="12"/>
        <v>0.27294082049161084</v>
      </c>
      <c r="K109" s="222">
        <v>6.214340786430224</v>
      </c>
      <c r="L109" s="223">
        <f t="shared" si="13"/>
        <v>-0.18097284883255149</v>
      </c>
      <c r="M109" s="222">
        <v>6.6918823269188232</v>
      </c>
      <c r="N109" s="223">
        <v>0.4788117211167755</v>
      </c>
    </row>
    <row r="110" spans="2:14" ht="6" customHeight="1" x14ac:dyDescent="0.25"/>
    <row r="111" spans="2:14" x14ac:dyDescent="0.25">
      <c r="B111" s="131" t="s">
        <v>57</v>
      </c>
      <c r="C111" s="228"/>
      <c r="D111" s="228"/>
      <c r="E111" s="228"/>
      <c r="F111" s="228"/>
      <c r="G111" s="228"/>
      <c r="H111" s="228"/>
      <c r="I111" s="228"/>
      <c r="J111" s="228"/>
      <c r="K111" s="228"/>
      <c r="L111" s="228"/>
      <c r="M111" s="228"/>
      <c r="N111" s="228"/>
    </row>
  </sheetData>
  <mergeCells count="40">
    <mergeCell ref="B92:N92"/>
    <mergeCell ref="C94:N94"/>
    <mergeCell ref="C95:D95"/>
    <mergeCell ref="E95:F95"/>
    <mergeCell ref="G95:H95"/>
    <mergeCell ref="I95:J95"/>
    <mergeCell ref="K95:L95"/>
    <mergeCell ref="M95:N95"/>
    <mergeCell ref="B70:N70"/>
    <mergeCell ref="C72:N72"/>
    <mergeCell ref="C73:D73"/>
    <mergeCell ref="E73:F73"/>
    <mergeCell ref="G73:H73"/>
    <mergeCell ref="I73:J73"/>
    <mergeCell ref="K73:L73"/>
    <mergeCell ref="M73:N73"/>
    <mergeCell ref="B48:N48"/>
    <mergeCell ref="C50:N50"/>
    <mergeCell ref="C51:D51"/>
    <mergeCell ref="E51:F51"/>
    <mergeCell ref="G51:H51"/>
    <mergeCell ref="I51:J51"/>
    <mergeCell ref="K51:L51"/>
    <mergeCell ref="M51:N51"/>
    <mergeCell ref="B26:N26"/>
    <mergeCell ref="C28:N28"/>
    <mergeCell ref="C29:D29"/>
    <mergeCell ref="E29:F29"/>
    <mergeCell ref="G29:H29"/>
    <mergeCell ref="I29:J29"/>
    <mergeCell ref="K29:L29"/>
    <mergeCell ref="M29:N29"/>
    <mergeCell ref="B4:N4"/>
    <mergeCell ref="C6:N6"/>
    <mergeCell ref="C7:D7"/>
    <mergeCell ref="E7:F7"/>
    <mergeCell ref="G7:H7"/>
    <mergeCell ref="I7:J7"/>
    <mergeCell ref="K7:L7"/>
    <mergeCell ref="M7:N7"/>
  </mergeCells>
  <pageMargins left="0.7" right="0.7" top="0.75" bottom="0.75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ADD02-F66B-440E-8948-ED55756F0DDA}">
  <sheetPr>
    <tabColor rgb="FF7030A0"/>
  </sheetPr>
  <dimension ref="A4:A24"/>
  <sheetViews>
    <sheetView showGridLines="0" workbookViewId="0">
      <selection activeCell="G10" sqref="G10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FA50C-A3BE-466E-9C43-06733D60AB9C}">
  <sheetPr>
    <tabColor rgb="FFAC75D5"/>
  </sheetPr>
  <dimension ref="A1:AC112"/>
  <sheetViews>
    <sheetView showGridLines="0" zoomScaleNormal="100" workbookViewId="0">
      <selection activeCell="G10" sqref="G10"/>
    </sheetView>
  </sheetViews>
  <sheetFormatPr baseColWidth="10" defaultColWidth="11.42578125" defaultRowHeight="15" x14ac:dyDescent="0.25"/>
  <cols>
    <col min="1" max="1" width="15.28515625" customWidth="1"/>
    <col min="3" max="3" width="15.85546875" bestFit="1" customWidth="1"/>
    <col min="13" max="13" width="14.7109375" bestFit="1" customWidth="1"/>
    <col min="15" max="15" width="14.85546875" customWidth="1"/>
  </cols>
  <sheetData>
    <row r="1" spans="1:16" ht="18.75" x14ac:dyDescent="0.3">
      <c r="C1" s="103"/>
      <c r="D1" s="230" t="s">
        <v>152</v>
      </c>
    </row>
    <row r="2" spans="1:16" ht="18.75" x14ac:dyDescent="0.3">
      <c r="D2" s="230" t="s">
        <v>153</v>
      </c>
    </row>
    <row r="4" spans="1:16" ht="48.75" customHeight="1" thickBot="1" x14ac:dyDescent="0.3">
      <c r="B4" s="12" t="s">
        <v>308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P4" s="1" t="s">
        <v>154</v>
      </c>
    </row>
    <row r="5" spans="1:16" ht="10.5" customHeight="1" thickBot="1" x14ac:dyDescent="0.3">
      <c r="B5" s="132"/>
      <c r="C5" s="133"/>
      <c r="D5" s="132"/>
      <c r="E5" s="132"/>
      <c r="F5" s="132"/>
      <c r="G5" s="132"/>
      <c r="H5" s="132"/>
      <c r="I5" s="132"/>
      <c r="J5" s="132"/>
      <c r="K5" s="132"/>
      <c r="L5" s="132"/>
      <c r="M5" s="4"/>
      <c r="N5" s="4"/>
      <c r="P5" s="1" t="s">
        <v>155</v>
      </c>
    </row>
    <row r="6" spans="1:16" ht="22.5" thickTop="1" thickBot="1" x14ac:dyDescent="0.3">
      <c r="B6" s="137"/>
      <c r="C6" s="135" t="s">
        <v>156</v>
      </c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1:16" ht="22.5" thickTop="1" thickBot="1" x14ac:dyDescent="0.3">
      <c r="B7" s="137"/>
      <c r="C7" s="138">
        <v>2020</v>
      </c>
      <c r="D7" s="139"/>
      <c r="E7" s="140">
        <v>2021</v>
      </c>
      <c r="F7" s="139"/>
      <c r="G7" s="140">
        <v>2022</v>
      </c>
      <c r="H7" s="139"/>
      <c r="I7" s="140">
        <v>2023</v>
      </c>
      <c r="J7" s="139"/>
      <c r="K7" s="140">
        <v>2024</v>
      </c>
      <c r="L7" s="139"/>
      <c r="M7" s="140">
        <v>2025</v>
      </c>
      <c r="N7" s="141"/>
    </row>
    <row r="8" spans="1:16" ht="16.5" thickTop="1" thickBot="1" x14ac:dyDescent="0.3">
      <c r="B8" s="109"/>
      <c r="C8" s="142" t="s">
        <v>71</v>
      </c>
      <c r="D8" s="143" t="str">
        <f>CONCATENATE("dif ",RIGHT(C7,2),"/",RIGHT(C7-1,2))</f>
        <v>dif 20/19</v>
      </c>
      <c r="E8" s="144" t="s">
        <v>71</v>
      </c>
      <c r="F8" s="143" t="str">
        <f>CONCATENATE("dif ",RIGHT(E7,2),"/",RIGHT(C7,2))</f>
        <v>dif 21/20</v>
      </c>
      <c r="G8" s="144" t="s">
        <v>71</v>
      </c>
      <c r="H8" s="143" t="str">
        <f>CONCATENATE("dif ",RIGHT(G7,2),"/",RIGHT(E7,2))</f>
        <v>dif 22/21</v>
      </c>
      <c r="I8" s="144" t="s">
        <v>71</v>
      </c>
      <c r="J8" s="143" t="str">
        <f>CONCATENATE("dif ",RIGHT(I7,2),"/",RIGHT(G7,2))</f>
        <v>dif 23/22</v>
      </c>
      <c r="K8" s="144" t="s">
        <v>71</v>
      </c>
      <c r="L8" s="143" t="str">
        <f>CONCATENATE("dif ",RIGHT(K7,2),"/",RIGHT(I7,2))</f>
        <v>dif 24/23</v>
      </c>
      <c r="M8" s="144" t="s">
        <v>71</v>
      </c>
      <c r="N8" s="143" t="str">
        <f>CONCATENATE("var ",RIGHT(M7,2),"/",RIGHT(K7,2))</f>
        <v>var 25/24</v>
      </c>
    </row>
    <row r="9" spans="1:16" x14ac:dyDescent="0.25">
      <c r="A9" s="1" t="s">
        <v>72</v>
      </c>
      <c r="B9" s="145" t="s">
        <v>73</v>
      </c>
      <c r="C9" s="231">
        <v>0.7387999999999999</v>
      </c>
      <c r="D9" s="147">
        <v>9.42751742041259E-3</v>
      </c>
      <c r="E9" s="231">
        <v>0.22309999999999999</v>
      </c>
      <c r="F9" s="147">
        <f t="shared" ref="F9:L21" si="0">IFERROR(E9/C9-1,"-")</f>
        <v>-0.6980238224147266</v>
      </c>
      <c r="G9" s="231">
        <v>0.57789999999999997</v>
      </c>
      <c r="H9" s="147">
        <f t="shared" si="0"/>
        <v>1.5903182429403855</v>
      </c>
      <c r="I9" s="231">
        <v>0.82430000000000003</v>
      </c>
      <c r="J9" s="147">
        <f t="shared" si="0"/>
        <v>0.42637134452327397</v>
      </c>
      <c r="K9" s="231">
        <v>0.872</v>
      </c>
      <c r="L9" s="147">
        <f t="shared" si="0"/>
        <v>5.7867281329613052E-2</v>
      </c>
      <c r="M9" s="231">
        <v>0.84379999999999999</v>
      </c>
      <c r="N9" s="147">
        <f t="shared" ref="N9:N16" si="1">IFERROR(M9/K9-1,"-")</f>
        <v>-3.2339449541284426E-2</v>
      </c>
    </row>
    <row r="10" spans="1:16" x14ac:dyDescent="0.25">
      <c r="A10" s="1" t="s">
        <v>74</v>
      </c>
      <c r="B10" s="145" t="s">
        <v>75</v>
      </c>
      <c r="C10" s="231">
        <v>0.82779999999999998</v>
      </c>
      <c r="D10" s="147">
        <v>0.10270414280005347</v>
      </c>
      <c r="E10" s="231">
        <v>0.2339</v>
      </c>
      <c r="F10" s="147">
        <f t="shared" si="0"/>
        <v>-0.71744382701135545</v>
      </c>
      <c r="G10" s="231">
        <v>0.78700000000000003</v>
      </c>
      <c r="H10" s="147">
        <f t="shared" si="0"/>
        <v>2.3646857631466442</v>
      </c>
      <c r="I10" s="231">
        <v>0.87060000000000004</v>
      </c>
      <c r="J10" s="147">
        <f t="shared" si="0"/>
        <v>0.10622617534942824</v>
      </c>
      <c r="K10" s="231">
        <v>0.89639999999999997</v>
      </c>
      <c r="L10" s="147">
        <f t="shared" si="0"/>
        <v>2.9634734665747731E-2</v>
      </c>
      <c r="M10" s="231">
        <v>0.9244</v>
      </c>
      <c r="N10" s="147">
        <f t="shared" si="1"/>
        <v>3.1236055332440893E-2</v>
      </c>
    </row>
    <row r="11" spans="1:16" x14ac:dyDescent="0.25">
      <c r="A11" s="1" t="s">
        <v>76</v>
      </c>
      <c r="B11" s="145" t="s">
        <v>77</v>
      </c>
      <c r="C11" s="231">
        <v>0.36729999999999996</v>
      </c>
      <c r="D11" s="147">
        <v>-0.49337931034482763</v>
      </c>
      <c r="E11" s="231">
        <v>0.25269999999999998</v>
      </c>
      <c r="F11" s="147">
        <f t="shared" si="0"/>
        <v>-0.31200653416825486</v>
      </c>
      <c r="G11" s="231">
        <v>0.74909999999999999</v>
      </c>
      <c r="H11" s="147">
        <f t="shared" si="0"/>
        <v>1.9643846458250893</v>
      </c>
      <c r="I11" s="231">
        <v>0.73480000000000001</v>
      </c>
      <c r="J11" s="147">
        <f t="shared" si="0"/>
        <v>-1.9089574155653377E-2</v>
      </c>
      <c r="K11" s="231">
        <v>0.88939999999999997</v>
      </c>
      <c r="L11" s="147">
        <f t="shared" si="0"/>
        <v>0.21039738704409361</v>
      </c>
      <c r="M11" s="231">
        <v>0.82620000000000005</v>
      </c>
      <c r="N11" s="147">
        <f t="shared" si="1"/>
        <v>-7.1059140993928405E-2</v>
      </c>
    </row>
    <row r="12" spans="1:16" x14ac:dyDescent="0.25">
      <c r="A12" s="1" t="s">
        <v>78</v>
      </c>
      <c r="B12" s="145" t="s">
        <v>79</v>
      </c>
      <c r="C12" s="231">
        <v>0</v>
      </c>
      <c r="D12" s="147">
        <v>-1</v>
      </c>
      <c r="E12" s="231">
        <v>0.2611</v>
      </c>
      <c r="F12" s="147" t="str">
        <f t="shared" si="0"/>
        <v>-</v>
      </c>
      <c r="G12" s="231">
        <v>0.79280000000000006</v>
      </c>
      <c r="H12" s="147">
        <f t="shared" si="0"/>
        <v>2.0363845270011494</v>
      </c>
      <c r="I12" s="231">
        <v>0.78159999999999996</v>
      </c>
      <c r="J12" s="147">
        <f t="shared" si="0"/>
        <v>-1.4127144298688332E-2</v>
      </c>
      <c r="K12" s="231">
        <v>0.80359999999999998</v>
      </c>
      <c r="L12" s="147">
        <f t="shared" si="0"/>
        <v>2.814738996929389E-2</v>
      </c>
      <c r="M12" s="231">
        <v>0.8216</v>
      </c>
      <c r="N12" s="147">
        <f t="shared" si="1"/>
        <v>2.2399203583872485E-2</v>
      </c>
    </row>
    <row r="13" spans="1:16" x14ac:dyDescent="0.25">
      <c r="A13" s="1" t="s">
        <v>80</v>
      </c>
      <c r="B13" s="145" t="s">
        <v>81</v>
      </c>
      <c r="C13" s="231">
        <v>0</v>
      </c>
      <c r="D13" s="147">
        <v>-1</v>
      </c>
      <c r="E13" s="231">
        <v>0.27500000000000002</v>
      </c>
      <c r="F13" s="147" t="str">
        <f t="shared" si="0"/>
        <v>-</v>
      </c>
      <c r="G13" s="231">
        <v>0.63340000000000007</v>
      </c>
      <c r="H13" s="147">
        <f t="shared" si="0"/>
        <v>1.3032727272727271</v>
      </c>
      <c r="I13" s="231">
        <v>0.73349999999999993</v>
      </c>
      <c r="J13" s="147">
        <f t="shared" si="0"/>
        <v>0.15803599621092501</v>
      </c>
      <c r="K13" s="231">
        <v>0.80420000000000003</v>
      </c>
      <c r="L13" s="147">
        <f t="shared" si="0"/>
        <v>9.6387184730743147E-2</v>
      </c>
      <c r="M13" s="231">
        <v>0.71109999999999995</v>
      </c>
      <c r="N13" s="147">
        <f t="shared" si="1"/>
        <v>-0.11576722208405876</v>
      </c>
    </row>
    <row r="14" spans="1:16" x14ac:dyDescent="0.25">
      <c r="A14" s="1" t="s">
        <v>82</v>
      </c>
      <c r="B14" s="145" t="s">
        <v>83</v>
      </c>
      <c r="C14" s="231">
        <v>0</v>
      </c>
      <c r="D14" s="147">
        <v>-1</v>
      </c>
      <c r="E14" s="231">
        <v>0.20440000000000003</v>
      </c>
      <c r="F14" s="147" t="str">
        <f t="shared" si="0"/>
        <v>-</v>
      </c>
      <c r="G14" s="231">
        <v>0.6873999999999999</v>
      </c>
      <c r="H14" s="147">
        <f t="shared" si="0"/>
        <v>2.363013698630136</v>
      </c>
      <c r="I14" s="231">
        <v>0.76780000000000004</v>
      </c>
      <c r="J14" s="147">
        <f t="shared" si="0"/>
        <v>0.11696246726796655</v>
      </c>
      <c r="K14" s="231">
        <v>0.81640000000000001</v>
      </c>
      <c r="L14" s="147">
        <f t="shared" si="0"/>
        <v>6.3297733784839716E-2</v>
      </c>
      <c r="M14" s="231">
        <v>0.80099999999999993</v>
      </c>
      <c r="N14" s="147">
        <f t="shared" si="1"/>
        <v>-1.8863302302792873E-2</v>
      </c>
    </row>
    <row r="15" spans="1:16" x14ac:dyDescent="0.25">
      <c r="A15" s="1" t="s">
        <v>84</v>
      </c>
      <c r="B15" s="145" t="s">
        <v>85</v>
      </c>
      <c r="C15" s="231">
        <v>0</v>
      </c>
      <c r="D15" s="147">
        <v>-1</v>
      </c>
      <c r="E15" s="231">
        <v>0.39960000000000001</v>
      </c>
      <c r="F15" s="147" t="str">
        <f t="shared" si="0"/>
        <v>-</v>
      </c>
      <c r="G15" s="231">
        <v>0.80249999999999999</v>
      </c>
      <c r="H15" s="147">
        <f t="shared" si="0"/>
        <v>1.008258258258258</v>
      </c>
      <c r="I15" s="231">
        <v>0.83689999999999998</v>
      </c>
      <c r="J15" s="147">
        <f t="shared" si="0"/>
        <v>4.2866043613707161E-2</v>
      </c>
      <c r="K15" s="231">
        <v>0.87379999999999991</v>
      </c>
      <c r="L15" s="147">
        <f t="shared" si="0"/>
        <v>4.4091289281873447E-2</v>
      </c>
      <c r="M15" s="231">
        <v>0.93040000000000012</v>
      </c>
      <c r="N15" s="147">
        <f t="shared" si="1"/>
        <v>6.4774547951476524E-2</v>
      </c>
    </row>
    <row r="16" spans="1:16" x14ac:dyDescent="0.25">
      <c r="A16" s="1" t="s">
        <v>86</v>
      </c>
      <c r="B16" s="145" t="s">
        <v>87</v>
      </c>
      <c r="C16" s="231">
        <v>0.43909999999999999</v>
      </c>
      <c r="D16" s="147">
        <v>-0.48426121681935641</v>
      </c>
      <c r="E16" s="231">
        <v>0.62039999999999995</v>
      </c>
      <c r="F16" s="147">
        <f t="shared" si="0"/>
        <v>0.41289000227738559</v>
      </c>
      <c r="G16" s="231">
        <v>0.89769999999999994</v>
      </c>
      <c r="H16" s="147">
        <f t="shared" si="0"/>
        <v>0.44696969696969702</v>
      </c>
      <c r="I16" s="231">
        <v>0.91459999999999997</v>
      </c>
      <c r="J16" s="147">
        <f t="shared" si="0"/>
        <v>1.8825888381419187E-2</v>
      </c>
      <c r="K16" s="231">
        <v>0.90269999999999995</v>
      </c>
      <c r="L16" s="147">
        <f t="shared" si="0"/>
        <v>-1.3011152416356864E-2</v>
      </c>
      <c r="M16" s="231">
        <v>0.93909999999999993</v>
      </c>
      <c r="N16" s="147">
        <f t="shared" si="1"/>
        <v>4.0323474022377237E-2</v>
      </c>
    </row>
    <row r="17" spans="1:29" x14ac:dyDescent="0.25">
      <c r="A17" s="1" t="s">
        <v>88</v>
      </c>
      <c r="B17" s="145" t="s">
        <v>89</v>
      </c>
      <c r="C17" s="231">
        <v>0.20370000000000002</v>
      </c>
      <c r="D17" s="147">
        <v>-0.74345088161209061</v>
      </c>
      <c r="E17" s="231">
        <v>0.5484</v>
      </c>
      <c r="F17" s="147">
        <f t="shared" si="0"/>
        <v>1.6921944035346095</v>
      </c>
      <c r="G17" s="231">
        <v>0.70709999999999995</v>
      </c>
      <c r="H17" s="147">
        <f t="shared" si="0"/>
        <v>0.2893873085339167</v>
      </c>
      <c r="I17" s="231">
        <v>0.78359999999999996</v>
      </c>
      <c r="J17" s="147">
        <f t="shared" si="0"/>
        <v>0.10818837505303347</v>
      </c>
      <c r="K17" s="231">
        <v>0.75800000000000001</v>
      </c>
      <c r="L17" s="147">
        <f t="shared" si="0"/>
        <v>-3.2669729453802865E-2</v>
      </c>
      <c r="M17" s="231"/>
      <c r="N17" s="147"/>
    </row>
    <row r="18" spans="1:29" x14ac:dyDescent="0.25">
      <c r="A18" s="1" t="s">
        <v>90</v>
      </c>
      <c r="B18" s="145" t="s">
        <v>91</v>
      </c>
      <c r="C18" s="231">
        <v>0.20949999999999999</v>
      </c>
      <c r="D18" s="147">
        <v>-0.72292024864435922</v>
      </c>
      <c r="E18" s="231">
        <v>0.69010000000000005</v>
      </c>
      <c r="F18" s="147">
        <f t="shared" si="0"/>
        <v>2.2940334128878286</v>
      </c>
      <c r="G18" s="231">
        <v>0.77500000000000002</v>
      </c>
      <c r="H18" s="147">
        <f t="shared" si="0"/>
        <v>0.12302564845674535</v>
      </c>
      <c r="I18" s="231">
        <v>0.85840000000000005</v>
      </c>
      <c r="J18" s="147">
        <f t="shared" si="0"/>
        <v>0.10761290322580641</v>
      </c>
      <c r="K18" s="231">
        <v>0.89359999999999995</v>
      </c>
      <c r="L18" s="147">
        <f t="shared" si="0"/>
        <v>4.1006523765144243E-2</v>
      </c>
      <c r="M18" s="231"/>
      <c r="N18" s="147"/>
      <c r="AB18" s="232"/>
    </row>
    <row r="19" spans="1:29" x14ac:dyDescent="0.25">
      <c r="A19" s="1" t="s">
        <v>92</v>
      </c>
      <c r="B19" s="145" t="s">
        <v>93</v>
      </c>
      <c r="C19" s="231">
        <v>0.27260000000000001</v>
      </c>
      <c r="D19" s="147">
        <v>-0.61223328591749637</v>
      </c>
      <c r="E19" s="231">
        <v>0.71479999999999999</v>
      </c>
      <c r="F19" s="147">
        <f t="shared" si="0"/>
        <v>1.6221570066030813</v>
      </c>
      <c r="G19" s="231">
        <v>0.79510000000000003</v>
      </c>
      <c r="H19" s="147">
        <f t="shared" si="0"/>
        <v>0.11233911583659761</v>
      </c>
      <c r="I19" s="231">
        <v>0.85420000000000007</v>
      </c>
      <c r="J19" s="147">
        <f t="shared" si="0"/>
        <v>7.4330272921645069E-2</v>
      </c>
      <c r="K19" s="231">
        <v>0.83440000000000003</v>
      </c>
      <c r="L19" s="147">
        <f t="shared" si="0"/>
        <v>-2.317958323577618E-2</v>
      </c>
      <c r="M19" s="231"/>
      <c r="N19" s="147"/>
      <c r="AB19" s="232"/>
      <c r="AC19" s="232"/>
    </row>
    <row r="20" spans="1:29" x14ac:dyDescent="0.25">
      <c r="A20" s="1" t="s">
        <v>94</v>
      </c>
      <c r="B20" s="145" t="s">
        <v>95</v>
      </c>
      <c r="C20" s="231">
        <v>0.2797</v>
      </c>
      <c r="D20" s="147">
        <v>-0.60031437553586742</v>
      </c>
      <c r="E20" s="231">
        <v>0.61990000000000001</v>
      </c>
      <c r="F20" s="147">
        <f t="shared" si="0"/>
        <v>1.2163031819806935</v>
      </c>
      <c r="G20" s="231">
        <v>0.78520000000000001</v>
      </c>
      <c r="H20" s="147">
        <f t="shared" si="0"/>
        <v>0.26665591224391028</v>
      </c>
      <c r="I20" s="231">
        <v>0.79709999999999992</v>
      </c>
      <c r="J20" s="147">
        <f t="shared" si="0"/>
        <v>1.5155374426897517E-2</v>
      </c>
      <c r="K20" s="231">
        <v>0.79709999999999992</v>
      </c>
      <c r="L20" s="147">
        <f t="shared" si="0"/>
        <v>0</v>
      </c>
      <c r="M20" s="231"/>
      <c r="N20" s="147"/>
      <c r="O20" s="153"/>
    </row>
    <row r="21" spans="1:29" ht="15.75" x14ac:dyDescent="0.25">
      <c r="A21" s="1" t="s">
        <v>0</v>
      </c>
      <c r="B21" s="148" t="s">
        <v>32</v>
      </c>
      <c r="C21" s="233">
        <v>0.49125694136118242</v>
      </c>
      <c r="D21" s="150">
        <v>-0.33462581029377603</v>
      </c>
      <c r="E21" s="233">
        <v>0.48201408869433904</v>
      </c>
      <c r="F21" s="150">
        <f t="shared" si="0"/>
        <v>-1.881470140906949E-2</v>
      </c>
      <c r="G21" s="233">
        <v>0.74892677369097149</v>
      </c>
      <c r="H21" s="150">
        <f t="shared" si="0"/>
        <v>0.5537445714909186</v>
      </c>
      <c r="I21" s="233">
        <v>0.81331329152256404</v>
      </c>
      <c r="J21" s="150">
        <f t="shared" si="0"/>
        <v>8.5971713248110149E-2</v>
      </c>
      <c r="K21" s="233">
        <v>0.84524916570756325</v>
      </c>
      <c r="L21" s="150">
        <f t="shared" si="0"/>
        <v>3.9266386665357089E-2</v>
      </c>
      <c r="M21" s="233"/>
      <c r="N21" s="150"/>
      <c r="O21" s="234"/>
    </row>
    <row r="22" spans="1:29" ht="6" customHeight="1" x14ac:dyDescent="0.25">
      <c r="O22" s="234"/>
    </row>
    <row r="23" spans="1:29" x14ac:dyDescent="0.25">
      <c r="B23" s="131" t="s">
        <v>57</v>
      </c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234"/>
    </row>
    <row r="24" spans="1:29" x14ac:dyDescent="0.25">
      <c r="C24" s="235"/>
      <c r="K24" s="235"/>
      <c r="M24" s="235"/>
      <c r="N24" s="147"/>
      <c r="O24" s="234"/>
    </row>
    <row r="26" spans="1:29" ht="21.75" customHeight="1" thickBot="1" x14ac:dyDescent="0.3">
      <c r="B26" s="12" t="s">
        <v>309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P26" s="1" t="s">
        <v>157</v>
      </c>
    </row>
    <row r="27" spans="1:29" ht="10.5" customHeight="1" thickBot="1" x14ac:dyDescent="0.3">
      <c r="B27" s="132"/>
      <c r="C27" s="133"/>
      <c r="D27" s="132"/>
      <c r="E27" s="132"/>
      <c r="F27" s="132"/>
      <c r="G27" s="132"/>
      <c r="H27" s="132"/>
      <c r="I27" s="132"/>
      <c r="J27" s="132"/>
      <c r="K27" s="132"/>
      <c r="L27" s="132"/>
      <c r="M27" s="4"/>
      <c r="N27" s="4"/>
      <c r="P27" s="1" t="s">
        <v>158</v>
      </c>
    </row>
    <row r="28" spans="1:29" ht="22.5" thickTop="1" thickBot="1" x14ac:dyDescent="0.3">
      <c r="B28" s="137"/>
      <c r="C28" s="135" t="s">
        <v>62</v>
      </c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</row>
    <row r="29" spans="1:29" ht="22.5" thickTop="1" thickBot="1" x14ac:dyDescent="0.3">
      <c r="B29" s="137"/>
      <c r="C29" s="156">
        <f>C$7</f>
        <v>2020</v>
      </c>
      <c r="D29" s="236"/>
      <c r="E29" s="156">
        <f>E$7</f>
        <v>2021</v>
      </c>
      <c r="F29" s="236"/>
      <c r="G29" s="156">
        <f>G$7</f>
        <v>2022</v>
      </c>
      <c r="H29" s="236"/>
      <c r="I29" s="156">
        <f>I$7</f>
        <v>2023</v>
      </c>
      <c r="J29" s="236"/>
      <c r="K29" s="156">
        <f>K$7</f>
        <v>2024</v>
      </c>
      <c r="L29" s="236"/>
      <c r="M29" s="237">
        <f>M$7</f>
        <v>2025</v>
      </c>
      <c r="N29" s="238"/>
    </row>
    <row r="30" spans="1:29" ht="16.5" thickTop="1" thickBot="1" x14ac:dyDescent="0.3">
      <c r="B30" s="109"/>
      <c r="C30" s="142" t="s">
        <v>71</v>
      </c>
      <c r="D30" s="143" t="str">
        <f>CONCATENATE("var ",RIGHT(C29,2),"/",RIGHT(C29-1,2))</f>
        <v>var 20/19</v>
      </c>
      <c r="E30" s="144" t="s">
        <v>71</v>
      </c>
      <c r="F30" s="143" t="str">
        <f>CONCATENATE("var ",RIGHT(E29,2),"/",RIGHT(C29,2))</f>
        <v>var 21/20</v>
      </c>
      <c r="G30" s="144" t="s">
        <v>71</v>
      </c>
      <c r="H30" s="143" t="str">
        <f>CONCATENATE("var ",RIGHT(G29,2),"/",RIGHT(E29,2))</f>
        <v>var 22/21</v>
      </c>
      <c r="I30" s="144" t="s">
        <v>71</v>
      </c>
      <c r="J30" s="143" t="str">
        <f>CONCATENATE("var ",RIGHT(I29,2),"/",RIGHT(G29,2))</f>
        <v>var 23/22</v>
      </c>
      <c r="K30" s="144" t="s">
        <v>71</v>
      </c>
      <c r="L30" s="143" t="str">
        <f>CONCATENATE("var ",RIGHT(K29,2),"/",RIGHT(I29,2))</f>
        <v>var 24/23</v>
      </c>
      <c r="M30" s="144" t="s">
        <v>71</v>
      </c>
      <c r="N30" s="143" t="str">
        <f>CONCATENATE("var ",RIGHT(M29,2),"/",RIGHT(K29,2))</f>
        <v>var 25/24</v>
      </c>
    </row>
    <row r="31" spans="1:29" x14ac:dyDescent="0.25">
      <c r="B31" s="145" t="s">
        <v>73</v>
      </c>
      <c r="C31" s="231">
        <v>0.8327</v>
      </c>
      <c r="D31" s="147"/>
      <c r="E31" s="231">
        <v>0.32579999999999998</v>
      </c>
      <c r="F31" s="147">
        <f t="shared" ref="F31:J43" si="2">IFERROR(E31/C31-1,"-")</f>
        <v>-0.60874264440975145</v>
      </c>
      <c r="G31" s="231">
        <v>0.61520000000000008</v>
      </c>
      <c r="H31" s="147">
        <f t="shared" si="2"/>
        <v>0.88827501534683884</v>
      </c>
      <c r="I31" s="231">
        <v>0.91280000000000006</v>
      </c>
      <c r="J31" s="147">
        <f t="shared" si="2"/>
        <v>0.48374512353706112</v>
      </c>
      <c r="K31" s="231">
        <v>0.96530000000000005</v>
      </c>
      <c r="L31" s="147">
        <f t="shared" ref="L31:L43" si="3">IFERROR(K31/I31-1,"-")</f>
        <v>5.7515337423312829E-2</v>
      </c>
      <c r="M31" s="231">
        <v>0.93849999999999989</v>
      </c>
      <c r="N31" s="147">
        <f t="shared" ref="N31:N38" si="4">IFERROR(M31/K31-1,"-")</f>
        <v>-2.776338961980751E-2</v>
      </c>
    </row>
    <row r="32" spans="1:29" x14ac:dyDescent="0.25">
      <c r="B32" s="145" t="s">
        <v>75</v>
      </c>
      <c r="C32" s="231">
        <v>0.9698</v>
      </c>
      <c r="D32" s="147"/>
      <c r="E32" s="231">
        <v>0.40229999999999999</v>
      </c>
      <c r="F32" s="147">
        <f t="shared" si="2"/>
        <v>-0.58517220045370177</v>
      </c>
      <c r="G32" s="231">
        <v>0.86180000000000012</v>
      </c>
      <c r="H32" s="147">
        <f t="shared" si="2"/>
        <v>1.1421824509072835</v>
      </c>
      <c r="I32" s="231">
        <v>0.96200000000000008</v>
      </c>
      <c r="J32" s="147">
        <f t="shared" si="2"/>
        <v>0.11626827570201903</v>
      </c>
      <c r="K32" s="231">
        <v>1.0661</v>
      </c>
      <c r="L32" s="147">
        <f t="shared" si="3"/>
        <v>0.10821205821205826</v>
      </c>
      <c r="M32" s="231">
        <v>1.0306999999999999</v>
      </c>
      <c r="N32" s="147">
        <f t="shared" si="4"/>
        <v>-3.3205140230747721E-2</v>
      </c>
    </row>
    <row r="33" spans="2:16" x14ac:dyDescent="0.25">
      <c r="B33" s="145" t="s">
        <v>77</v>
      </c>
      <c r="C33" s="231">
        <v>0.39979999999999999</v>
      </c>
      <c r="D33" s="147"/>
      <c r="E33" s="231">
        <v>0.41789999999999999</v>
      </c>
      <c r="F33" s="147">
        <f t="shared" si="2"/>
        <v>4.5272636318159032E-2</v>
      </c>
      <c r="G33" s="231">
        <v>0.8236</v>
      </c>
      <c r="H33" s="147">
        <f t="shared" si="2"/>
        <v>0.97080641301746828</v>
      </c>
      <c r="I33" s="231">
        <v>0.7944</v>
      </c>
      <c r="J33" s="147">
        <f t="shared" si="2"/>
        <v>-3.5454103933948544E-2</v>
      </c>
      <c r="K33" s="231">
        <v>0.98959999999999992</v>
      </c>
      <c r="L33" s="147">
        <f t="shared" si="3"/>
        <v>0.2457200402819737</v>
      </c>
      <c r="M33" s="231">
        <v>0.90989999999999993</v>
      </c>
      <c r="N33" s="147">
        <f t="shared" si="4"/>
        <v>-8.0537590945836679E-2</v>
      </c>
    </row>
    <row r="34" spans="2:16" x14ac:dyDescent="0.25">
      <c r="B34" s="145" t="s">
        <v>79</v>
      </c>
      <c r="C34" s="231">
        <v>0</v>
      </c>
      <c r="D34" s="147"/>
      <c r="E34" s="231">
        <v>0.40389999999999998</v>
      </c>
      <c r="F34" s="147" t="str">
        <f t="shared" si="2"/>
        <v>-</v>
      </c>
      <c r="G34" s="231">
        <v>0.90949999999999998</v>
      </c>
      <c r="H34" s="147">
        <f t="shared" si="2"/>
        <v>1.2517949987620698</v>
      </c>
      <c r="I34" s="231">
        <v>0.88819999999999988</v>
      </c>
      <c r="J34" s="147">
        <f t="shared" si="2"/>
        <v>-2.3419461242440986E-2</v>
      </c>
      <c r="K34" s="231">
        <v>0.91859999999999997</v>
      </c>
      <c r="L34" s="147">
        <f t="shared" si="3"/>
        <v>3.4226525557307097E-2</v>
      </c>
      <c r="M34" s="231">
        <v>0.92059999999999997</v>
      </c>
      <c r="N34" s="147">
        <f t="shared" si="4"/>
        <v>2.1772262138035625E-3</v>
      </c>
    </row>
    <row r="35" spans="2:16" x14ac:dyDescent="0.25">
      <c r="B35" s="145" t="s">
        <v>81</v>
      </c>
      <c r="C35" s="231">
        <v>0</v>
      </c>
      <c r="D35" s="147"/>
      <c r="E35" s="231">
        <v>0.43189999999999995</v>
      </c>
      <c r="F35" s="147" t="str">
        <f t="shared" si="2"/>
        <v>-</v>
      </c>
      <c r="G35" s="231">
        <v>0.76180000000000003</v>
      </c>
      <c r="H35" s="147">
        <f t="shared" si="2"/>
        <v>0.76383422088446418</v>
      </c>
      <c r="I35" s="231">
        <v>0.872</v>
      </c>
      <c r="J35" s="147">
        <f t="shared" si="2"/>
        <v>0.14465739039117875</v>
      </c>
      <c r="K35" s="231">
        <v>0.94200000000000006</v>
      </c>
      <c r="L35" s="147">
        <f t="shared" si="3"/>
        <v>8.0275229357798183E-2</v>
      </c>
      <c r="M35" s="231">
        <v>0.81980000000000008</v>
      </c>
      <c r="N35" s="147">
        <f t="shared" si="4"/>
        <v>-0.12972399150743097</v>
      </c>
    </row>
    <row r="36" spans="2:16" x14ac:dyDescent="0.25">
      <c r="B36" s="145" t="s">
        <v>83</v>
      </c>
      <c r="C36" s="231">
        <v>0</v>
      </c>
      <c r="D36" s="147"/>
      <c r="E36" s="231">
        <v>0.26039999999999996</v>
      </c>
      <c r="F36" s="147" t="str">
        <f t="shared" si="2"/>
        <v>-</v>
      </c>
      <c r="G36" s="231">
        <v>0.81559999999999999</v>
      </c>
      <c r="H36" s="147">
        <f t="shared" si="2"/>
        <v>2.1321044546851002</v>
      </c>
      <c r="I36" s="231">
        <v>0.9104000000000001</v>
      </c>
      <c r="J36" s="147">
        <f t="shared" si="2"/>
        <v>0.11623344776851408</v>
      </c>
      <c r="K36" s="231">
        <v>0.96189999999999998</v>
      </c>
      <c r="L36" s="147">
        <f t="shared" si="3"/>
        <v>5.656854130052702E-2</v>
      </c>
      <c r="M36" s="231">
        <v>0.92480000000000007</v>
      </c>
      <c r="N36" s="147">
        <f t="shared" si="4"/>
        <v>-3.8569497868801261E-2</v>
      </c>
    </row>
    <row r="37" spans="2:16" x14ac:dyDescent="0.25">
      <c r="B37" s="145" t="s">
        <v>85</v>
      </c>
      <c r="C37" s="231">
        <v>0</v>
      </c>
      <c r="D37" s="147"/>
      <c r="E37" s="231">
        <v>0.4869</v>
      </c>
      <c r="F37" s="147" t="str">
        <f t="shared" si="2"/>
        <v>-</v>
      </c>
      <c r="G37" s="231">
        <v>0.92709999999999992</v>
      </c>
      <c r="H37" s="147">
        <f t="shared" si="2"/>
        <v>0.90408708153624961</v>
      </c>
      <c r="I37" s="231">
        <v>0.94920000000000004</v>
      </c>
      <c r="J37" s="147">
        <f t="shared" si="2"/>
        <v>2.3837773702944709E-2</v>
      </c>
      <c r="K37" s="231">
        <v>0.99629999999999996</v>
      </c>
      <c r="L37" s="147">
        <f t="shared" si="3"/>
        <v>4.9620733249051696E-2</v>
      </c>
      <c r="M37" s="231">
        <v>1.0375000000000001</v>
      </c>
      <c r="N37" s="147">
        <f t="shared" si="4"/>
        <v>4.1353006122653913E-2</v>
      </c>
    </row>
    <row r="38" spans="2:16" x14ac:dyDescent="0.25">
      <c r="B38" s="145" t="s">
        <v>87</v>
      </c>
      <c r="C38" s="231">
        <v>0.52979999999999994</v>
      </c>
      <c r="D38" s="147"/>
      <c r="E38" s="231">
        <v>0.78590000000000004</v>
      </c>
      <c r="F38" s="147">
        <f t="shared" si="2"/>
        <v>0.48338995847489641</v>
      </c>
      <c r="G38" s="231">
        <v>1.0247999999999999</v>
      </c>
      <c r="H38" s="147">
        <f t="shared" si="2"/>
        <v>0.30398269499936359</v>
      </c>
      <c r="I38" s="231">
        <v>1.0207999999999999</v>
      </c>
      <c r="J38" s="147">
        <f t="shared" si="2"/>
        <v>-3.9032006245121043E-3</v>
      </c>
      <c r="K38" s="231">
        <v>1.0063</v>
      </c>
      <c r="L38" s="147">
        <f t="shared" si="3"/>
        <v>-1.4204545454545414E-2</v>
      </c>
      <c r="M38" s="231">
        <v>1.0137</v>
      </c>
      <c r="N38" s="147">
        <f t="shared" si="4"/>
        <v>7.3536718672364554E-3</v>
      </c>
    </row>
    <row r="39" spans="2:16" x14ac:dyDescent="0.25">
      <c r="B39" s="145" t="s">
        <v>89</v>
      </c>
      <c r="C39" s="231">
        <v>0.25850000000000001</v>
      </c>
      <c r="D39" s="147"/>
      <c r="E39" s="231">
        <v>0.68519999999999992</v>
      </c>
      <c r="F39" s="147">
        <f t="shared" si="2"/>
        <v>1.6506769825918757</v>
      </c>
      <c r="G39" s="231">
        <v>0.81950000000000001</v>
      </c>
      <c r="H39" s="147">
        <f t="shared" si="2"/>
        <v>0.19600116754232366</v>
      </c>
      <c r="I39" s="231">
        <v>0.88959999999999995</v>
      </c>
      <c r="J39" s="147">
        <f t="shared" si="2"/>
        <v>8.5539963392312401E-2</v>
      </c>
      <c r="K39" s="231">
        <v>0.85860000000000003</v>
      </c>
      <c r="L39" s="147">
        <f t="shared" si="3"/>
        <v>-3.484712230215814E-2</v>
      </c>
      <c r="M39" s="231"/>
      <c r="N39" s="147"/>
    </row>
    <row r="40" spans="2:16" x14ac:dyDescent="0.25">
      <c r="B40" s="145" t="s">
        <v>91</v>
      </c>
      <c r="C40" s="231">
        <v>0.28689999999999999</v>
      </c>
      <c r="D40" s="147"/>
      <c r="E40" s="231">
        <v>0.79390000000000005</v>
      </c>
      <c r="F40" s="147">
        <f t="shared" si="2"/>
        <v>1.7671662600209137</v>
      </c>
      <c r="G40" s="231">
        <v>0.8881</v>
      </c>
      <c r="H40" s="147">
        <f t="shared" si="2"/>
        <v>0.11865474241088281</v>
      </c>
      <c r="I40" s="231">
        <v>0.97180000000000011</v>
      </c>
      <c r="J40" s="147">
        <f t="shared" si="2"/>
        <v>9.424614345231408E-2</v>
      </c>
      <c r="K40" s="231">
        <v>1.0153000000000001</v>
      </c>
      <c r="L40" s="147">
        <f t="shared" si="3"/>
        <v>4.4762296768882548E-2</v>
      </c>
      <c r="M40" s="231"/>
      <c r="N40" s="147"/>
    </row>
    <row r="41" spans="2:16" x14ac:dyDescent="0.25">
      <c r="B41" s="145" t="s">
        <v>93</v>
      </c>
      <c r="C41" s="231">
        <v>0.38200000000000001</v>
      </c>
      <c r="D41" s="147"/>
      <c r="E41" s="231">
        <v>0.8012999999999999</v>
      </c>
      <c r="F41" s="147">
        <f t="shared" si="2"/>
        <v>1.0976439790575911</v>
      </c>
      <c r="G41" s="231">
        <v>0.87360000000000004</v>
      </c>
      <c r="H41" s="147">
        <f t="shared" si="2"/>
        <v>9.0228378884313232E-2</v>
      </c>
      <c r="I41" s="231">
        <v>0.95010000000000006</v>
      </c>
      <c r="J41" s="147">
        <f t="shared" si="2"/>
        <v>8.7568681318681341E-2</v>
      </c>
      <c r="K41" s="231">
        <v>0.92370000000000008</v>
      </c>
      <c r="L41" s="147">
        <f t="shared" si="3"/>
        <v>-2.7786548784338505E-2</v>
      </c>
      <c r="M41" s="231"/>
      <c r="N41" s="147"/>
    </row>
    <row r="42" spans="2:16" x14ac:dyDescent="0.25">
      <c r="B42" s="145" t="s">
        <v>95</v>
      </c>
      <c r="C42" s="231">
        <v>0.39159999999999995</v>
      </c>
      <c r="D42" s="147"/>
      <c r="E42" s="231">
        <v>0.66610000000000003</v>
      </c>
      <c r="F42" s="147">
        <f t="shared" si="2"/>
        <v>0.70097037793667027</v>
      </c>
      <c r="G42" s="231">
        <v>0.86670000000000003</v>
      </c>
      <c r="H42" s="147">
        <f t="shared" si="2"/>
        <v>0.30115598258519749</v>
      </c>
      <c r="I42" s="231">
        <v>0.87</v>
      </c>
      <c r="J42" s="147">
        <f t="shared" si="2"/>
        <v>3.8075458636206427E-3</v>
      </c>
      <c r="K42" s="231">
        <v>0.88249999999999995</v>
      </c>
      <c r="L42" s="147">
        <f t="shared" si="3"/>
        <v>1.4367816091954033E-2</v>
      </c>
      <c r="M42" s="231"/>
      <c r="N42" s="147"/>
    </row>
    <row r="43" spans="2:16" ht="15.75" x14ac:dyDescent="0.25">
      <c r="B43" s="148" t="s">
        <v>32</v>
      </c>
      <c r="C43" s="233">
        <v>0.58674350442618195</v>
      </c>
      <c r="D43" s="150"/>
      <c r="E43" s="239">
        <v>0.61734478770601819</v>
      </c>
      <c r="F43" s="150">
        <f t="shared" si="2"/>
        <v>5.215444746979081E-2</v>
      </c>
      <c r="G43" s="239">
        <v>0.84878834356712252</v>
      </c>
      <c r="H43" s="150">
        <f t="shared" si="2"/>
        <v>0.3749016116603523</v>
      </c>
      <c r="I43" s="233">
        <v>0.9159504223366709</v>
      </c>
      <c r="J43" s="150">
        <f t="shared" si="2"/>
        <v>7.9127004133082934E-2</v>
      </c>
      <c r="K43" s="233">
        <v>0.95750805881643142</v>
      </c>
      <c r="L43" s="150">
        <f t="shared" si="3"/>
        <v>4.5371054443911207E-2</v>
      </c>
      <c r="M43" s="233"/>
      <c r="N43" s="150"/>
    </row>
    <row r="44" spans="2:16" ht="6" customHeight="1" x14ac:dyDescent="0.25"/>
    <row r="45" spans="2:16" x14ac:dyDescent="0.25">
      <c r="B45" s="131" t="s">
        <v>57</v>
      </c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</row>
    <row r="46" spans="2:16" x14ac:dyDescent="0.25">
      <c r="C46" s="235"/>
      <c r="K46" s="235"/>
      <c r="L46" s="235"/>
    </row>
    <row r="48" spans="2:16" ht="21.75" customHeight="1" thickBot="1" x14ac:dyDescent="0.3">
      <c r="B48" s="12" t="s">
        <v>310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P48" s="1" t="s">
        <v>159</v>
      </c>
    </row>
    <row r="49" spans="2:16" ht="10.5" customHeight="1" thickBot="1" x14ac:dyDescent="0.3">
      <c r="B49" s="132"/>
      <c r="C49" s="133"/>
      <c r="D49" s="132"/>
      <c r="E49" s="132"/>
      <c r="F49" s="132"/>
      <c r="G49" s="132"/>
      <c r="H49" s="132"/>
      <c r="I49" s="132"/>
      <c r="J49" s="132"/>
      <c r="K49" s="132"/>
      <c r="L49" s="132"/>
      <c r="M49" s="4"/>
      <c r="N49" s="4"/>
      <c r="P49" s="1" t="s">
        <v>160</v>
      </c>
    </row>
    <row r="50" spans="2:16" ht="22.5" thickTop="1" thickBot="1" x14ac:dyDescent="0.3">
      <c r="B50" s="137"/>
      <c r="C50" s="135" t="s">
        <v>63</v>
      </c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</row>
    <row r="51" spans="2:16" ht="22.5" thickTop="1" thickBot="1" x14ac:dyDescent="0.3">
      <c r="B51" s="137"/>
      <c r="C51" s="156">
        <f>C$7</f>
        <v>2020</v>
      </c>
      <c r="D51" s="236"/>
      <c r="E51" s="156">
        <f>E$7</f>
        <v>2021</v>
      </c>
      <c r="F51" s="236"/>
      <c r="G51" s="156">
        <f>G$7</f>
        <v>2022</v>
      </c>
      <c r="H51" s="236"/>
      <c r="I51" s="156">
        <f>I$7</f>
        <v>2023</v>
      </c>
      <c r="J51" s="236"/>
      <c r="K51" s="156">
        <f>K$7</f>
        <v>2024</v>
      </c>
      <c r="L51" s="236"/>
      <c r="M51" s="237">
        <f>M$7</f>
        <v>2025</v>
      </c>
      <c r="N51" s="238"/>
    </row>
    <row r="52" spans="2:16" ht="16.5" thickTop="1" thickBot="1" x14ac:dyDescent="0.3">
      <c r="B52" s="109"/>
      <c r="C52" s="142" t="s">
        <v>71</v>
      </c>
      <c r="D52" s="143" t="str">
        <f>CONCATENATE("var ",RIGHT(C51,2),"/",RIGHT(C51-1,2))</f>
        <v>var 20/19</v>
      </c>
      <c r="E52" s="144" t="s">
        <v>71</v>
      </c>
      <c r="F52" s="143" t="str">
        <f>CONCATENATE("var ",RIGHT(E51,2),"/",RIGHT(C51,2))</f>
        <v>var 21/20</v>
      </c>
      <c r="G52" s="144" t="s">
        <v>71</v>
      </c>
      <c r="H52" s="143" t="str">
        <f>CONCATENATE("var ",RIGHT(G51,2),"/",RIGHT(E51,2))</f>
        <v>var 22/21</v>
      </c>
      <c r="I52" s="144" t="s">
        <v>71</v>
      </c>
      <c r="J52" s="143" t="str">
        <f>CONCATENATE("var ",RIGHT(I51,2),"/",RIGHT(G51,2))</f>
        <v>var 23/22</v>
      </c>
      <c r="K52" s="144" t="s">
        <v>71</v>
      </c>
      <c r="L52" s="143" t="str">
        <f>CONCATENATE("var ",RIGHT(K51,2),"/",RIGHT(I51,2))</f>
        <v>var 24/23</v>
      </c>
      <c r="M52" s="144" t="s">
        <v>71</v>
      </c>
      <c r="N52" s="143" t="str">
        <f>CONCATENATE("var ",RIGHT(M51,2),"/",RIGHT(K51,2))</f>
        <v>var 25/24</v>
      </c>
    </row>
    <row r="53" spans="2:16" x14ac:dyDescent="0.25">
      <c r="B53" s="145" t="s">
        <v>73</v>
      </c>
      <c r="C53" s="231">
        <v>0.84459999999999991</v>
      </c>
      <c r="D53" s="147"/>
      <c r="E53" s="231">
        <v>0</v>
      </c>
      <c r="F53" s="147">
        <f t="shared" ref="F53:J65" si="5">IFERROR(E53/C53-1,"-")</f>
        <v>-1</v>
      </c>
      <c r="G53" s="231">
        <v>0</v>
      </c>
      <c r="H53" s="147" t="str">
        <f t="shared" si="5"/>
        <v>-</v>
      </c>
      <c r="I53" s="231">
        <v>0.98719999999999997</v>
      </c>
      <c r="J53" s="147" t="str">
        <f t="shared" si="5"/>
        <v>-</v>
      </c>
      <c r="K53" s="231">
        <v>0.99319999999999997</v>
      </c>
      <c r="L53" s="147">
        <f t="shared" ref="L53:L65" si="6">IFERROR(K53/I53-1,"-")</f>
        <v>6.0777957860616016E-3</v>
      </c>
      <c r="M53" s="231">
        <v>0.95640000000000003</v>
      </c>
      <c r="N53" s="147">
        <f t="shared" ref="N53:N61" si="7">IFERROR(M53/K53-1,"-")</f>
        <v>-3.7051953282319694E-2</v>
      </c>
    </row>
    <row r="54" spans="2:16" x14ac:dyDescent="0.25">
      <c r="B54" s="145" t="s">
        <v>75</v>
      </c>
      <c r="C54" s="231">
        <v>1.0042</v>
      </c>
      <c r="D54" s="147"/>
      <c r="E54" s="231">
        <v>0</v>
      </c>
      <c r="F54" s="147">
        <f t="shared" si="5"/>
        <v>-1</v>
      </c>
      <c r="G54" s="231">
        <v>0</v>
      </c>
      <c r="H54" s="147" t="str">
        <f t="shared" si="5"/>
        <v>-</v>
      </c>
      <c r="I54" s="231">
        <v>1.0593000000000001</v>
      </c>
      <c r="J54" s="147" t="str">
        <f t="shared" si="5"/>
        <v>-</v>
      </c>
      <c r="K54" s="231">
        <v>1.1003000000000001</v>
      </c>
      <c r="L54" s="147">
        <f t="shared" si="6"/>
        <v>3.8704805059945224E-2</v>
      </c>
      <c r="M54" s="231">
        <v>1.0770999999999999</v>
      </c>
      <c r="N54" s="147">
        <f t="shared" si="7"/>
        <v>-2.1085158593111109E-2</v>
      </c>
    </row>
    <row r="55" spans="2:16" x14ac:dyDescent="0.25">
      <c r="B55" s="145" t="s">
        <v>77</v>
      </c>
      <c r="C55" s="231">
        <v>0.40310000000000001</v>
      </c>
      <c r="D55" s="147"/>
      <c r="E55" s="231">
        <v>0</v>
      </c>
      <c r="F55" s="147">
        <f t="shared" si="5"/>
        <v>-1</v>
      </c>
      <c r="G55" s="231">
        <v>0</v>
      </c>
      <c r="H55" s="147" t="str">
        <f t="shared" si="5"/>
        <v>-</v>
      </c>
      <c r="I55" s="231">
        <v>0.84499999999999997</v>
      </c>
      <c r="J55" s="147" t="str">
        <f t="shared" si="5"/>
        <v>-</v>
      </c>
      <c r="K55" s="231">
        <v>1.0183</v>
      </c>
      <c r="L55" s="147">
        <f t="shared" si="6"/>
        <v>0.20508875739644972</v>
      </c>
      <c r="M55" s="231">
        <v>0.96069999999999989</v>
      </c>
      <c r="N55" s="147">
        <f t="shared" si="7"/>
        <v>-5.6564863006972499E-2</v>
      </c>
    </row>
    <row r="56" spans="2:16" x14ac:dyDescent="0.25">
      <c r="B56" s="145" t="s">
        <v>79</v>
      </c>
      <c r="C56" s="231">
        <v>0</v>
      </c>
      <c r="D56" s="147"/>
      <c r="E56" s="231">
        <v>0</v>
      </c>
      <c r="F56" s="147" t="str">
        <f t="shared" si="5"/>
        <v>-</v>
      </c>
      <c r="G56" s="231">
        <v>0</v>
      </c>
      <c r="H56" s="147" t="str">
        <f t="shared" si="5"/>
        <v>-</v>
      </c>
      <c r="I56" s="231">
        <v>0.95319999999999994</v>
      </c>
      <c r="J56" s="147" t="str">
        <f t="shared" si="5"/>
        <v>-</v>
      </c>
      <c r="K56" s="231">
        <v>0.96579999999999999</v>
      </c>
      <c r="L56" s="147">
        <f t="shared" si="6"/>
        <v>1.3218631976500195E-2</v>
      </c>
      <c r="M56" s="231">
        <v>0.96689999999999998</v>
      </c>
      <c r="N56" s="147">
        <f t="shared" si="7"/>
        <v>1.138952164009055E-3</v>
      </c>
    </row>
    <row r="57" spans="2:16" x14ac:dyDescent="0.25">
      <c r="B57" s="145" t="s">
        <v>81</v>
      </c>
      <c r="C57" s="231">
        <v>0</v>
      </c>
      <c r="D57" s="147"/>
      <c r="E57" s="231">
        <v>0</v>
      </c>
      <c r="F57" s="147" t="str">
        <f t="shared" si="5"/>
        <v>-</v>
      </c>
      <c r="G57" s="231">
        <v>0</v>
      </c>
      <c r="H57" s="147" t="str">
        <f t="shared" si="5"/>
        <v>-</v>
      </c>
      <c r="I57" s="231">
        <v>0.89180000000000004</v>
      </c>
      <c r="J57" s="147" t="str">
        <f t="shared" si="5"/>
        <v>-</v>
      </c>
      <c r="K57" s="231">
        <v>0.94340000000000002</v>
      </c>
      <c r="L57" s="147">
        <f t="shared" si="6"/>
        <v>5.786050684009858E-2</v>
      </c>
      <c r="M57" s="231">
        <v>0.82499999999999996</v>
      </c>
      <c r="N57" s="147">
        <f t="shared" si="7"/>
        <v>-0.12550349798600813</v>
      </c>
    </row>
    <row r="58" spans="2:16" x14ac:dyDescent="0.25">
      <c r="B58" s="145" t="s">
        <v>83</v>
      </c>
      <c r="C58" s="231">
        <v>0</v>
      </c>
      <c r="D58" s="147"/>
      <c r="E58" s="231">
        <v>0</v>
      </c>
      <c r="F58" s="147" t="str">
        <f t="shared" si="5"/>
        <v>-</v>
      </c>
      <c r="G58" s="231">
        <v>0</v>
      </c>
      <c r="H58" s="147" t="str">
        <f t="shared" si="5"/>
        <v>-</v>
      </c>
      <c r="I58" s="231">
        <v>0.95090000000000008</v>
      </c>
      <c r="J58" s="147" t="str">
        <f t="shared" si="5"/>
        <v>-</v>
      </c>
      <c r="K58" s="231">
        <v>0.95669999999999999</v>
      </c>
      <c r="L58" s="147">
        <f t="shared" si="6"/>
        <v>6.0994846987063589E-3</v>
      </c>
      <c r="M58" s="231">
        <v>0.9587</v>
      </c>
      <c r="N58" s="147">
        <f t="shared" si="7"/>
        <v>2.0905194940943339E-3</v>
      </c>
    </row>
    <row r="59" spans="2:16" x14ac:dyDescent="0.25">
      <c r="B59" s="145" t="s">
        <v>85</v>
      </c>
      <c r="C59" s="231">
        <v>0</v>
      </c>
      <c r="D59" s="147"/>
      <c r="E59" s="231">
        <v>0</v>
      </c>
      <c r="F59" s="147" t="str">
        <f t="shared" si="5"/>
        <v>-</v>
      </c>
      <c r="G59" s="231">
        <v>0</v>
      </c>
      <c r="H59" s="147" t="str">
        <f t="shared" si="5"/>
        <v>-</v>
      </c>
      <c r="I59" s="231">
        <v>0.96950000000000003</v>
      </c>
      <c r="J59" s="147" t="str">
        <f t="shared" si="5"/>
        <v>-</v>
      </c>
      <c r="K59" s="231">
        <v>1.0078</v>
      </c>
      <c r="L59" s="147">
        <f t="shared" si="6"/>
        <v>3.9504899432697194E-2</v>
      </c>
      <c r="M59" s="231">
        <v>1.0750999999999999</v>
      </c>
      <c r="N59" s="147">
        <f t="shared" si="7"/>
        <v>6.6779122841833516E-2</v>
      </c>
    </row>
    <row r="60" spans="2:16" x14ac:dyDescent="0.25">
      <c r="B60" s="145" t="s">
        <v>87</v>
      </c>
      <c r="C60" s="231">
        <v>0.61080000000000001</v>
      </c>
      <c r="D60" s="147"/>
      <c r="E60" s="231">
        <v>0</v>
      </c>
      <c r="F60" s="147">
        <f t="shared" si="5"/>
        <v>-1</v>
      </c>
      <c r="G60" s="231">
        <v>0</v>
      </c>
      <c r="H60" s="147" t="str">
        <f t="shared" si="5"/>
        <v>-</v>
      </c>
      <c r="I60" s="231">
        <v>1.0537000000000001</v>
      </c>
      <c r="J60" s="147" t="str">
        <f t="shared" si="5"/>
        <v>-</v>
      </c>
      <c r="K60" s="231">
        <v>1.0227999999999999</v>
      </c>
      <c r="L60" s="147">
        <f t="shared" si="6"/>
        <v>-2.9325234886590223E-2</v>
      </c>
      <c r="M60" s="231">
        <v>1.0403</v>
      </c>
      <c r="N60" s="147">
        <f t="shared" si="7"/>
        <v>1.7109894407508763E-2</v>
      </c>
    </row>
    <row r="61" spans="2:16" x14ac:dyDescent="0.25">
      <c r="B61" s="145" t="s">
        <v>89</v>
      </c>
      <c r="C61" s="231">
        <v>0</v>
      </c>
      <c r="D61" s="147"/>
      <c r="E61" s="231">
        <v>0</v>
      </c>
      <c r="F61" s="147" t="str">
        <f t="shared" si="5"/>
        <v>-</v>
      </c>
      <c r="G61" s="231">
        <v>0</v>
      </c>
      <c r="H61" s="147" t="str">
        <f t="shared" si="5"/>
        <v>-</v>
      </c>
      <c r="I61" s="231">
        <v>0.89219999999999999</v>
      </c>
      <c r="J61" s="147" t="str">
        <f t="shared" si="5"/>
        <v>-</v>
      </c>
      <c r="K61" s="231">
        <v>0.87370000000000003</v>
      </c>
      <c r="L61" s="147">
        <f t="shared" si="6"/>
        <v>-2.0735261152208029E-2</v>
      </c>
      <c r="M61" s="231">
        <v>0.98439999999999994</v>
      </c>
      <c r="N61" s="147">
        <f t="shared" si="7"/>
        <v>0.12670252947235872</v>
      </c>
    </row>
    <row r="62" spans="2:16" x14ac:dyDescent="0.25">
      <c r="B62" s="145" t="s">
        <v>91</v>
      </c>
      <c r="C62" s="231">
        <v>0</v>
      </c>
      <c r="D62" s="147"/>
      <c r="E62" s="231">
        <v>0</v>
      </c>
      <c r="F62" s="147" t="str">
        <f t="shared" si="5"/>
        <v>-</v>
      </c>
      <c r="G62" s="231">
        <v>0</v>
      </c>
      <c r="H62" s="147" t="str">
        <f t="shared" si="5"/>
        <v>-</v>
      </c>
      <c r="I62" s="231">
        <v>1.0177</v>
      </c>
      <c r="J62" s="147" t="str">
        <f t="shared" si="5"/>
        <v>-</v>
      </c>
      <c r="K62" s="231">
        <v>1.0761000000000001</v>
      </c>
      <c r="L62" s="147">
        <f t="shared" si="6"/>
        <v>5.7384297926697414E-2</v>
      </c>
      <c r="M62" s="231"/>
      <c r="N62" s="147"/>
    </row>
    <row r="63" spans="2:16" x14ac:dyDescent="0.25">
      <c r="B63" s="145" t="s">
        <v>93</v>
      </c>
      <c r="C63" s="231">
        <v>0</v>
      </c>
      <c r="D63" s="147"/>
      <c r="E63" s="231">
        <v>0</v>
      </c>
      <c r="F63" s="147" t="str">
        <f t="shared" si="5"/>
        <v>-</v>
      </c>
      <c r="G63" s="231">
        <v>0</v>
      </c>
      <c r="H63" s="147" t="str">
        <f t="shared" si="5"/>
        <v>-</v>
      </c>
      <c r="I63" s="231">
        <v>0.9998999999999999</v>
      </c>
      <c r="J63" s="147" t="str">
        <f t="shared" si="5"/>
        <v>-</v>
      </c>
      <c r="K63" s="231">
        <v>0.95109999999999995</v>
      </c>
      <c r="L63" s="147">
        <f t="shared" si="6"/>
        <v>-4.8804880488048763E-2</v>
      </c>
      <c r="M63" s="231"/>
      <c r="N63" s="147"/>
    </row>
    <row r="64" spans="2:16" x14ac:dyDescent="0.25">
      <c r="B64" s="145" t="s">
        <v>95</v>
      </c>
      <c r="C64" s="231">
        <v>0</v>
      </c>
      <c r="D64" s="147"/>
      <c r="E64" s="231">
        <v>0</v>
      </c>
      <c r="F64" s="147" t="str">
        <f t="shared" si="5"/>
        <v>-</v>
      </c>
      <c r="G64" s="231">
        <v>0</v>
      </c>
      <c r="H64" s="147" t="str">
        <f t="shared" si="5"/>
        <v>-</v>
      </c>
      <c r="I64" s="231">
        <v>0.90180000000000005</v>
      </c>
      <c r="J64" s="147" t="str">
        <f t="shared" si="5"/>
        <v>-</v>
      </c>
      <c r="K64" s="231">
        <v>0.91739999999999999</v>
      </c>
      <c r="L64" s="147">
        <f t="shared" si="6"/>
        <v>1.7298735861610126E-2</v>
      </c>
      <c r="M64" s="231"/>
      <c r="N64" s="147"/>
    </row>
    <row r="65" spans="2:16" ht="15.75" x14ac:dyDescent="0.25">
      <c r="B65" s="148" t="s">
        <v>32</v>
      </c>
      <c r="C65" s="239">
        <v>0</v>
      </c>
      <c r="D65" s="240"/>
      <c r="E65" s="241">
        <v>0.89238316717268507</v>
      </c>
      <c r="F65" s="240" t="str">
        <f t="shared" si="5"/>
        <v>-</v>
      </c>
      <c r="G65" s="241">
        <v>0.86230572081972345</v>
      </c>
      <c r="H65" s="240">
        <f t="shared" si="5"/>
        <v>-3.3704632112520949E-2</v>
      </c>
      <c r="I65" s="241">
        <v>0.95995106478564085</v>
      </c>
      <c r="J65" s="240">
        <f t="shared" si="5"/>
        <v>0.11323749988935927</v>
      </c>
      <c r="K65" s="241">
        <v>0.9824608507075423</v>
      </c>
      <c r="L65" s="240">
        <f t="shared" si="6"/>
        <v>2.3448888956571823E-2</v>
      </c>
      <c r="M65" s="241"/>
      <c r="N65" s="240"/>
    </row>
    <row r="66" spans="2:16" ht="6" customHeight="1" x14ac:dyDescent="0.25"/>
    <row r="67" spans="2:16" x14ac:dyDescent="0.25">
      <c r="B67" s="131" t="s">
        <v>57</v>
      </c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</row>
    <row r="68" spans="2:16" x14ac:dyDescent="0.25">
      <c r="C68" s="235"/>
      <c r="K68" s="235"/>
      <c r="L68" s="235"/>
    </row>
    <row r="70" spans="2:16" ht="21.75" customHeight="1" thickBot="1" x14ac:dyDescent="0.3">
      <c r="B70" s="12" t="s">
        <v>311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P70" s="1" t="s">
        <v>161</v>
      </c>
    </row>
    <row r="71" spans="2:16" ht="10.5" customHeight="1" thickBot="1" x14ac:dyDescent="0.3">
      <c r="B71" s="132"/>
      <c r="C71" s="133"/>
      <c r="D71" s="132"/>
      <c r="E71" s="132"/>
      <c r="F71" s="132"/>
      <c r="G71" s="132"/>
      <c r="H71" s="132"/>
      <c r="I71" s="132"/>
      <c r="J71" s="132"/>
      <c r="K71" s="132"/>
      <c r="L71" s="132"/>
      <c r="M71" s="4"/>
      <c r="N71" s="4"/>
      <c r="P71" s="1" t="s">
        <v>162</v>
      </c>
    </row>
    <row r="72" spans="2:16" ht="22.5" thickTop="1" thickBot="1" x14ac:dyDescent="0.3">
      <c r="B72" s="137"/>
      <c r="C72" s="135" t="s">
        <v>64</v>
      </c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</row>
    <row r="73" spans="2:16" ht="22.5" thickTop="1" thickBot="1" x14ac:dyDescent="0.3">
      <c r="B73" s="137"/>
      <c r="C73" s="156">
        <f>C$7</f>
        <v>2020</v>
      </c>
      <c r="D73" s="236"/>
      <c r="E73" s="156">
        <f>E$7</f>
        <v>2021</v>
      </c>
      <c r="F73" s="236"/>
      <c r="G73" s="156">
        <f>G$7</f>
        <v>2022</v>
      </c>
      <c r="H73" s="236"/>
      <c r="I73" s="156">
        <f>I$7</f>
        <v>2023</v>
      </c>
      <c r="J73" s="236"/>
      <c r="K73" s="156">
        <f>K$7</f>
        <v>2024</v>
      </c>
      <c r="L73" s="236"/>
      <c r="M73" s="237">
        <f>M$7</f>
        <v>2025</v>
      </c>
      <c r="N73" s="238"/>
    </row>
    <row r="74" spans="2:16" ht="16.5" thickTop="1" thickBot="1" x14ac:dyDescent="0.3">
      <c r="B74" s="109"/>
      <c r="C74" s="142" t="s">
        <v>71</v>
      </c>
      <c r="D74" s="143" t="str">
        <f>CONCATENATE("var ",RIGHT(C73,2),"/",RIGHT(C73-1,2))</f>
        <v>var 20/19</v>
      </c>
      <c r="E74" s="144" t="s">
        <v>71</v>
      </c>
      <c r="F74" s="143" t="str">
        <f>CONCATENATE("var ",RIGHT(E73,2),"/",RIGHT(C73,2))</f>
        <v>var 21/20</v>
      </c>
      <c r="G74" s="144" t="s">
        <v>71</v>
      </c>
      <c r="H74" s="143" t="str">
        <f>CONCATENATE("var ",RIGHT(G73,2),"/",RIGHT(E73,2))</f>
        <v>var 22/21</v>
      </c>
      <c r="I74" s="144" t="s">
        <v>71</v>
      </c>
      <c r="J74" s="143" t="str">
        <f>CONCATENATE("var ",RIGHT(I73,2),"/",RIGHT(G73,2))</f>
        <v>var 23/22</v>
      </c>
      <c r="K74" s="144" t="s">
        <v>71</v>
      </c>
      <c r="L74" s="143" t="str">
        <f>CONCATENATE("var ",RIGHT(K73,2),"/",RIGHT(I73,2))</f>
        <v>var 24/23</v>
      </c>
      <c r="M74" s="144" t="s">
        <v>71</v>
      </c>
      <c r="N74" s="143" t="str">
        <f>CONCATENATE("var ",RIGHT(M73,2),"/",RIGHT(K73,2))</f>
        <v>var 25/24</v>
      </c>
    </row>
    <row r="75" spans="2:16" x14ac:dyDescent="0.25">
      <c r="B75" s="145" t="s">
        <v>73</v>
      </c>
      <c r="C75" s="231">
        <v>0.79469999999999996</v>
      </c>
      <c r="D75" s="147"/>
      <c r="E75" s="231">
        <v>0</v>
      </c>
      <c r="F75" s="147">
        <f t="shared" ref="F75:J87" si="8">IFERROR(E75/C75-1,"-")</f>
        <v>-1</v>
      </c>
      <c r="G75" s="231">
        <v>0</v>
      </c>
      <c r="H75" s="147" t="str">
        <f t="shared" si="8"/>
        <v>-</v>
      </c>
      <c r="I75" s="231">
        <v>0.65390000000000004</v>
      </c>
      <c r="J75" s="147" t="str">
        <f t="shared" si="8"/>
        <v>-</v>
      </c>
      <c r="K75" s="231">
        <v>0.86799999999999999</v>
      </c>
      <c r="L75" s="147">
        <f t="shared" ref="L75:L87" si="9">IFERROR(K75/I75-1,"-")</f>
        <v>0.32742009481572087</v>
      </c>
      <c r="M75" s="231">
        <v>0.87609999999999999</v>
      </c>
      <c r="N75" s="147">
        <f t="shared" ref="N75:N83" si="10">IFERROR(M75/K75-1,"-")</f>
        <v>9.3317972350230871E-3</v>
      </c>
    </row>
    <row r="76" spans="2:16" x14ac:dyDescent="0.25">
      <c r="B76" s="145" t="s">
        <v>75</v>
      </c>
      <c r="C76" s="231">
        <v>0.85</v>
      </c>
      <c r="D76" s="147"/>
      <c r="E76" s="231">
        <v>0</v>
      </c>
      <c r="F76" s="147">
        <f t="shared" si="8"/>
        <v>-1</v>
      </c>
      <c r="G76" s="231">
        <v>0</v>
      </c>
      <c r="H76" s="147" t="str">
        <f t="shared" si="8"/>
        <v>-</v>
      </c>
      <c r="I76" s="231">
        <v>0.62309999999999999</v>
      </c>
      <c r="J76" s="147" t="str">
        <f t="shared" si="8"/>
        <v>-</v>
      </c>
      <c r="K76" s="231">
        <v>0.94669999999999999</v>
      </c>
      <c r="L76" s="147">
        <f t="shared" si="9"/>
        <v>0.51933878992136084</v>
      </c>
      <c r="M76" s="231">
        <v>0.86909999999999998</v>
      </c>
      <c r="N76" s="147">
        <f t="shared" si="10"/>
        <v>-8.1968944755466344E-2</v>
      </c>
    </row>
    <row r="77" spans="2:16" x14ac:dyDescent="0.25">
      <c r="B77" s="145" t="s">
        <v>77</v>
      </c>
      <c r="C77" s="231">
        <v>0.38819999999999999</v>
      </c>
      <c r="D77" s="147"/>
      <c r="E77" s="231">
        <v>0</v>
      </c>
      <c r="F77" s="147">
        <f t="shared" si="8"/>
        <v>-1</v>
      </c>
      <c r="G77" s="231">
        <v>0</v>
      </c>
      <c r="H77" s="147" t="str">
        <f t="shared" si="8"/>
        <v>-</v>
      </c>
      <c r="I77" s="231">
        <v>0.61819999999999997</v>
      </c>
      <c r="J77" s="147" t="str">
        <f t="shared" si="8"/>
        <v>-</v>
      </c>
      <c r="K77" s="231">
        <v>0.88969999999999994</v>
      </c>
      <c r="L77" s="147">
        <f t="shared" si="9"/>
        <v>0.43917825946295697</v>
      </c>
      <c r="M77" s="231">
        <v>0.73329999999999995</v>
      </c>
      <c r="N77" s="147">
        <f t="shared" si="10"/>
        <v>-0.17578959199730249</v>
      </c>
    </row>
    <row r="78" spans="2:16" x14ac:dyDescent="0.25">
      <c r="B78" s="145" t="s">
        <v>79</v>
      </c>
      <c r="C78" s="231">
        <v>0</v>
      </c>
      <c r="D78" s="147"/>
      <c r="E78" s="231">
        <v>0</v>
      </c>
      <c r="F78" s="147" t="str">
        <f t="shared" si="8"/>
        <v>-</v>
      </c>
      <c r="G78" s="231">
        <v>0</v>
      </c>
      <c r="H78" s="147" t="str">
        <f t="shared" si="8"/>
        <v>-</v>
      </c>
      <c r="I78" s="231">
        <v>0.6762999999999999</v>
      </c>
      <c r="J78" s="147" t="str">
        <f t="shared" si="8"/>
        <v>-</v>
      </c>
      <c r="K78" s="231">
        <v>0.754</v>
      </c>
      <c r="L78" s="147">
        <f t="shared" si="9"/>
        <v>0.11488984178618966</v>
      </c>
      <c r="M78" s="231">
        <v>0.75950000000000006</v>
      </c>
      <c r="N78" s="147">
        <f t="shared" si="10"/>
        <v>7.2944297082229159E-3</v>
      </c>
    </row>
    <row r="79" spans="2:16" x14ac:dyDescent="0.25">
      <c r="B79" s="145" t="s">
        <v>81</v>
      </c>
      <c r="C79" s="231">
        <v>0</v>
      </c>
      <c r="D79" s="147"/>
      <c r="E79" s="231">
        <v>0</v>
      </c>
      <c r="F79" s="147" t="str">
        <f t="shared" si="8"/>
        <v>-</v>
      </c>
      <c r="G79" s="231">
        <v>0</v>
      </c>
      <c r="H79" s="147" t="str">
        <f t="shared" si="8"/>
        <v>-</v>
      </c>
      <c r="I79" s="231">
        <v>0.8075</v>
      </c>
      <c r="J79" s="147" t="str">
        <f t="shared" si="8"/>
        <v>-</v>
      </c>
      <c r="K79" s="231">
        <v>0.93720000000000003</v>
      </c>
      <c r="L79" s="147">
        <f t="shared" si="9"/>
        <v>0.16061919504643973</v>
      </c>
      <c r="M79" s="231">
        <v>0.8015000000000001</v>
      </c>
      <c r="N79" s="147">
        <f t="shared" si="10"/>
        <v>-0.14479300042680321</v>
      </c>
    </row>
    <row r="80" spans="2:16" x14ac:dyDescent="0.25">
      <c r="B80" s="145" t="s">
        <v>83</v>
      </c>
      <c r="C80" s="231">
        <v>0</v>
      </c>
      <c r="D80" s="147"/>
      <c r="E80" s="231">
        <v>0</v>
      </c>
      <c r="F80" s="147" t="str">
        <f t="shared" si="8"/>
        <v>-</v>
      </c>
      <c r="G80" s="231">
        <v>0</v>
      </c>
      <c r="H80" s="147" t="str">
        <f t="shared" si="8"/>
        <v>-</v>
      </c>
      <c r="I80" s="231">
        <v>0.77829999999999999</v>
      </c>
      <c r="J80" s="147" t="str">
        <f t="shared" si="8"/>
        <v>-</v>
      </c>
      <c r="K80" s="231">
        <v>0.98010000000000008</v>
      </c>
      <c r="L80" s="147">
        <f t="shared" si="9"/>
        <v>0.25928305280740083</v>
      </c>
      <c r="M80" s="231">
        <v>0.80689999999999995</v>
      </c>
      <c r="N80" s="147">
        <f t="shared" si="10"/>
        <v>-0.17671666156514654</v>
      </c>
    </row>
    <row r="81" spans="2:16" x14ac:dyDescent="0.25">
      <c r="B81" s="145" t="s">
        <v>85</v>
      </c>
      <c r="C81" s="231">
        <v>0</v>
      </c>
      <c r="D81" s="147"/>
      <c r="E81" s="231">
        <v>0</v>
      </c>
      <c r="F81" s="147" t="str">
        <f t="shared" si="8"/>
        <v>-</v>
      </c>
      <c r="G81" s="231">
        <v>0</v>
      </c>
      <c r="H81" s="147" t="str">
        <f t="shared" si="8"/>
        <v>-</v>
      </c>
      <c r="I81" s="231">
        <v>0.87879999999999991</v>
      </c>
      <c r="J81" s="147" t="str">
        <f t="shared" si="8"/>
        <v>-</v>
      </c>
      <c r="K81" s="231">
        <v>0.95640000000000003</v>
      </c>
      <c r="L81" s="147">
        <f t="shared" si="9"/>
        <v>8.8302230314064811E-2</v>
      </c>
      <c r="M81" s="231">
        <v>0.90670000000000006</v>
      </c>
      <c r="N81" s="147">
        <f t="shared" si="10"/>
        <v>-5.1965704726055995E-2</v>
      </c>
    </row>
    <row r="82" spans="2:16" x14ac:dyDescent="0.25">
      <c r="B82" s="145" t="s">
        <v>87</v>
      </c>
      <c r="C82" s="231">
        <v>0.36880000000000002</v>
      </c>
      <c r="D82" s="147"/>
      <c r="E82" s="231">
        <v>0</v>
      </c>
      <c r="F82" s="147">
        <f t="shared" si="8"/>
        <v>-1</v>
      </c>
      <c r="G82" s="231">
        <v>0</v>
      </c>
      <c r="H82" s="147" t="str">
        <f t="shared" si="8"/>
        <v>-</v>
      </c>
      <c r="I82" s="231">
        <v>0.90639999999999998</v>
      </c>
      <c r="J82" s="147" t="str">
        <f t="shared" si="8"/>
        <v>-</v>
      </c>
      <c r="K82" s="231">
        <v>0.94879999999999998</v>
      </c>
      <c r="L82" s="147">
        <f t="shared" si="9"/>
        <v>4.6778464254192409E-2</v>
      </c>
      <c r="M82" s="231">
        <v>0.92090000000000005</v>
      </c>
      <c r="N82" s="147">
        <f t="shared" si="10"/>
        <v>-2.9405564924114613E-2</v>
      </c>
    </row>
    <row r="83" spans="2:16" x14ac:dyDescent="0.25">
      <c r="B83" s="145" t="s">
        <v>89</v>
      </c>
      <c r="C83" s="231">
        <v>0</v>
      </c>
      <c r="D83" s="147"/>
      <c r="E83" s="231">
        <v>0</v>
      </c>
      <c r="F83" s="147" t="str">
        <f t="shared" si="8"/>
        <v>-</v>
      </c>
      <c r="G83" s="231">
        <v>0</v>
      </c>
      <c r="H83" s="147" t="str">
        <f t="shared" si="8"/>
        <v>-</v>
      </c>
      <c r="I83" s="231">
        <v>0.88049999999999995</v>
      </c>
      <c r="J83" s="147" t="str">
        <f t="shared" si="8"/>
        <v>-</v>
      </c>
      <c r="K83" s="231">
        <v>0.80590000000000006</v>
      </c>
      <c r="L83" s="147">
        <f t="shared" si="9"/>
        <v>-8.4724588302100945E-2</v>
      </c>
      <c r="M83" s="231">
        <v>0.85510000000000008</v>
      </c>
      <c r="N83" s="147">
        <f t="shared" si="10"/>
        <v>6.1049758034495527E-2</v>
      </c>
    </row>
    <row r="84" spans="2:16" x14ac:dyDescent="0.25">
      <c r="B84" s="145" t="s">
        <v>91</v>
      </c>
      <c r="C84" s="231">
        <v>0</v>
      </c>
      <c r="D84" s="147"/>
      <c r="E84" s="231">
        <v>0</v>
      </c>
      <c r="F84" s="147" t="str">
        <f t="shared" si="8"/>
        <v>-</v>
      </c>
      <c r="G84" s="231">
        <v>0</v>
      </c>
      <c r="H84" s="147" t="str">
        <f t="shared" si="8"/>
        <v>-</v>
      </c>
      <c r="I84" s="231">
        <v>0.81169999999999998</v>
      </c>
      <c r="J84" s="147" t="str">
        <f t="shared" si="8"/>
        <v>-</v>
      </c>
      <c r="K84" s="231">
        <v>0.80370000000000008</v>
      </c>
      <c r="L84" s="147">
        <f t="shared" si="9"/>
        <v>-9.8558580756435976E-3</v>
      </c>
      <c r="M84" s="231"/>
      <c r="N84" s="147"/>
    </row>
    <row r="85" spans="2:16" x14ac:dyDescent="0.25">
      <c r="B85" s="145" t="s">
        <v>93</v>
      </c>
      <c r="C85" s="231">
        <v>0</v>
      </c>
      <c r="D85" s="147"/>
      <c r="E85" s="231">
        <v>0</v>
      </c>
      <c r="F85" s="147" t="str">
        <f t="shared" si="8"/>
        <v>-</v>
      </c>
      <c r="G85" s="231">
        <v>0</v>
      </c>
      <c r="H85" s="147" t="str">
        <f t="shared" si="8"/>
        <v>-</v>
      </c>
      <c r="I85" s="231">
        <v>0.77670000000000006</v>
      </c>
      <c r="J85" s="147" t="str">
        <f t="shared" si="8"/>
        <v>-</v>
      </c>
      <c r="K85" s="231">
        <v>0.82819999999999994</v>
      </c>
      <c r="L85" s="147">
        <f t="shared" si="9"/>
        <v>6.6306167117290871E-2</v>
      </c>
      <c r="M85" s="231"/>
      <c r="N85" s="147"/>
    </row>
    <row r="86" spans="2:16" x14ac:dyDescent="0.25">
      <c r="B86" s="145" t="s">
        <v>95</v>
      </c>
      <c r="C86" s="231">
        <v>0</v>
      </c>
      <c r="D86" s="147"/>
      <c r="E86" s="231">
        <v>0</v>
      </c>
      <c r="F86" s="147" t="str">
        <f t="shared" si="8"/>
        <v>-</v>
      </c>
      <c r="G86" s="231">
        <v>0</v>
      </c>
      <c r="H86" s="147" t="str">
        <f t="shared" si="8"/>
        <v>-</v>
      </c>
      <c r="I86" s="231">
        <v>0.7591</v>
      </c>
      <c r="J86" s="147" t="str">
        <f t="shared" si="8"/>
        <v>-</v>
      </c>
      <c r="K86" s="231">
        <v>0.76069999999999993</v>
      </c>
      <c r="L86" s="147">
        <f t="shared" si="9"/>
        <v>2.1077591885125813E-3</v>
      </c>
      <c r="M86" s="231"/>
      <c r="N86" s="147"/>
    </row>
    <row r="87" spans="2:16" ht="15.75" x14ac:dyDescent="0.25">
      <c r="B87" s="148" t="s">
        <v>32</v>
      </c>
      <c r="C87" s="239">
        <f>IFERROR(AVERAGE(C75:C86),"-")</f>
        <v>0.20014166666666666</v>
      </c>
      <c r="D87" s="240"/>
      <c r="E87" s="239">
        <f>IFERROR(AVERAGE(E75:E86),"-")</f>
        <v>0</v>
      </c>
      <c r="F87" s="240">
        <f t="shared" si="8"/>
        <v>-1</v>
      </c>
      <c r="G87" s="239">
        <f>IFERROR(AVERAGE(G75:G86),"-")</f>
        <v>0</v>
      </c>
      <c r="H87" s="240" t="str">
        <f t="shared" si="8"/>
        <v>-</v>
      </c>
      <c r="I87" s="239">
        <f>IFERROR(AVERAGE(I75:I86),"-")</f>
        <v>0.76420833333333338</v>
      </c>
      <c r="J87" s="240" t="str">
        <f t="shared" si="8"/>
        <v>-</v>
      </c>
      <c r="K87" s="239">
        <f>IFERROR(AVERAGE(K75:K86),"-")</f>
        <v>0.8732833333333333</v>
      </c>
      <c r="L87" s="240">
        <f t="shared" si="9"/>
        <v>0.14272940406738988</v>
      </c>
      <c r="M87" s="241"/>
      <c r="N87" s="240"/>
    </row>
    <row r="88" spans="2:16" ht="6" customHeight="1" x14ac:dyDescent="0.25"/>
    <row r="89" spans="2:16" x14ac:dyDescent="0.25">
      <c r="B89" s="131" t="s">
        <v>57</v>
      </c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</row>
    <row r="92" spans="2:16" ht="21.75" customHeight="1" thickBot="1" x14ac:dyDescent="0.3">
      <c r="B92" s="12" t="s">
        <v>312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P92" s="1" t="s">
        <v>163</v>
      </c>
    </row>
    <row r="93" spans="2:16" ht="10.5" customHeight="1" thickBot="1" x14ac:dyDescent="0.3">
      <c r="B93" s="132"/>
      <c r="C93" s="133"/>
      <c r="D93" s="132"/>
      <c r="E93" s="132"/>
      <c r="F93" s="132"/>
      <c r="G93" s="132"/>
      <c r="H93" s="132"/>
      <c r="I93" s="132"/>
      <c r="J93" s="132"/>
      <c r="K93" s="132"/>
      <c r="L93" s="132"/>
      <c r="M93" s="4"/>
      <c r="N93" s="4"/>
      <c r="P93" s="1" t="s">
        <v>164</v>
      </c>
    </row>
    <row r="94" spans="2:16" ht="22.5" thickTop="1" thickBot="1" x14ac:dyDescent="0.3">
      <c r="B94" s="137"/>
      <c r="C94" s="135" t="s">
        <v>34</v>
      </c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</row>
    <row r="95" spans="2:16" ht="22.5" thickTop="1" thickBot="1" x14ac:dyDescent="0.3">
      <c r="B95" s="137"/>
      <c r="C95" s="156">
        <f>C$7</f>
        <v>2020</v>
      </c>
      <c r="D95" s="236"/>
      <c r="E95" s="156">
        <f>E$7</f>
        <v>2021</v>
      </c>
      <c r="F95" s="236"/>
      <c r="G95" s="156">
        <f>G$7</f>
        <v>2022</v>
      </c>
      <c r="H95" s="236"/>
      <c r="I95" s="156">
        <f>I$7</f>
        <v>2023</v>
      </c>
      <c r="J95" s="236"/>
      <c r="K95" s="156">
        <f>K$7</f>
        <v>2024</v>
      </c>
      <c r="L95" s="236"/>
      <c r="M95" s="237">
        <f>M$7</f>
        <v>2025</v>
      </c>
      <c r="N95" s="238"/>
    </row>
    <row r="96" spans="2:16" ht="16.5" thickTop="1" thickBot="1" x14ac:dyDescent="0.3">
      <c r="B96" s="109"/>
      <c r="C96" s="142" t="s">
        <v>71</v>
      </c>
      <c r="D96" s="143" t="str">
        <f>CONCATENATE("var ",RIGHT(C95,2),"/",RIGHT(C95-1,2))</f>
        <v>var 20/19</v>
      </c>
      <c r="E96" s="144" t="s">
        <v>71</v>
      </c>
      <c r="F96" s="143" t="str">
        <f>CONCATENATE("var ",RIGHT(E95,2),"/",RIGHT(C95,2))</f>
        <v>var 21/20</v>
      </c>
      <c r="G96" s="144" t="s">
        <v>71</v>
      </c>
      <c r="H96" s="143" t="str">
        <f>CONCATENATE("var ",RIGHT(G95,2),"/",RIGHT(E95,2))</f>
        <v>var 22/21</v>
      </c>
      <c r="I96" s="144" t="s">
        <v>71</v>
      </c>
      <c r="J96" s="143" t="str">
        <f>CONCATENATE("var ",RIGHT(I95,2),"/",RIGHT(G95,2))</f>
        <v>var 23/22</v>
      </c>
      <c r="K96" s="144" t="s">
        <v>71</v>
      </c>
      <c r="L96" s="143" t="str">
        <f>CONCATENATE("var ",RIGHT(K95,2),"/",RIGHT(I95,2))</f>
        <v>var 24/23</v>
      </c>
      <c r="M96" s="144" t="s">
        <v>71</v>
      </c>
      <c r="N96" s="143" t="str">
        <f>CONCATENATE("var ",RIGHT(M95,2),"/",RIGHT(K95,2))</f>
        <v>var 25/24</v>
      </c>
    </row>
    <row r="97" spans="2:14" x14ac:dyDescent="0.25">
      <c r="B97" s="145" t="s">
        <v>73</v>
      </c>
      <c r="C97" s="231">
        <v>0.56869999999999998</v>
      </c>
      <c r="D97" s="147"/>
      <c r="E97" s="231">
        <v>6.0400000000000002E-2</v>
      </c>
      <c r="F97" s="147">
        <f t="shared" ref="F97:J109" si="11">IFERROR(E97/C97-1,"-")</f>
        <v>-0.89379286091084931</v>
      </c>
      <c r="G97" s="231">
        <v>0.47100000000000003</v>
      </c>
      <c r="H97" s="147">
        <f t="shared" si="11"/>
        <v>6.798013245033113</v>
      </c>
      <c r="I97" s="231">
        <v>0.5706</v>
      </c>
      <c r="J97" s="147">
        <f t="shared" si="11"/>
        <v>0.2114649681528662</v>
      </c>
      <c r="K97" s="231">
        <v>0.60470000000000002</v>
      </c>
      <c r="L97" s="147">
        <f t="shared" ref="L97:L109" si="12">IFERROR(K97/I97-1,"-")</f>
        <v>5.9761654398878372E-2</v>
      </c>
      <c r="M97" s="231">
        <v>0.58520000000000005</v>
      </c>
      <c r="N97" s="147">
        <f t="shared" ref="N97:N105" si="13">IFERROR(M97/K97-1,"-")</f>
        <v>-3.2247395402678958E-2</v>
      </c>
    </row>
    <row r="98" spans="2:14" x14ac:dyDescent="0.25">
      <c r="B98" s="145" t="s">
        <v>75</v>
      </c>
      <c r="C98" s="231">
        <v>0.55230000000000001</v>
      </c>
      <c r="D98" s="147"/>
      <c r="E98" s="231">
        <v>8.09E-2</v>
      </c>
      <c r="F98" s="147">
        <f t="shared" si="11"/>
        <v>-0.85352163679159876</v>
      </c>
      <c r="G98" s="231">
        <v>0.57269999999999999</v>
      </c>
      <c r="H98" s="147">
        <f t="shared" si="11"/>
        <v>6.079110012360939</v>
      </c>
      <c r="I98" s="231">
        <v>0.60880000000000001</v>
      </c>
      <c r="J98" s="147">
        <f t="shared" si="11"/>
        <v>6.3034747686397719E-2</v>
      </c>
      <c r="K98" s="231">
        <v>0.53410000000000002</v>
      </c>
      <c r="L98" s="147">
        <f t="shared" si="12"/>
        <v>-0.12270039421813406</v>
      </c>
      <c r="M98" s="231">
        <v>0.63429999999999997</v>
      </c>
      <c r="N98" s="147">
        <f t="shared" si="13"/>
        <v>0.18760531735630015</v>
      </c>
    </row>
    <row r="99" spans="2:14" x14ac:dyDescent="0.25">
      <c r="B99" s="145" t="s">
        <v>77</v>
      </c>
      <c r="C99" s="231">
        <v>0.3044</v>
      </c>
      <c r="D99" s="147"/>
      <c r="E99" s="231">
        <v>0.1027</v>
      </c>
      <c r="F99" s="147">
        <f t="shared" si="11"/>
        <v>-0.66261498028909327</v>
      </c>
      <c r="G99" s="231">
        <v>0.53579999999999994</v>
      </c>
      <c r="H99" s="147">
        <f t="shared" si="11"/>
        <v>4.21713729308666</v>
      </c>
      <c r="I99" s="231">
        <v>0.56409999999999993</v>
      </c>
      <c r="J99" s="147">
        <f t="shared" si="11"/>
        <v>5.2818215752146402E-2</v>
      </c>
      <c r="K99" s="231">
        <v>0.60250000000000004</v>
      </c>
      <c r="L99" s="147">
        <f t="shared" si="12"/>
        <v>6.8073036695621481E-2</v>
      </c>
      <c r="M99" s="231">
        <v>0.59760000000000002</v>
      </c>
      <c r="N99" s="147">
        <f t="shared" si="13"/>
        <v>-8.1327800829875674E-3</v>
      </c>
    </row>
    <row r="100" spans="2:14" x14ac:dyDescent="0.25">
      <c r="B100" s="145" t="s">
        <v>79</v>
      </c>
      <c r="C100" s="231">
        <v>0</v>
      </c>
      <c r="D100" s="147"/>
      <c r="E100" s="231">
        <v>0.13159999999999999</v>
      </c>
      <c r="F100" s="147" t="str">
        <f t="shared" si="11"/>
        <v>-</v>
      </c>
      <c r="G100" s="231">
        <v>0.45890000000000003</v>
      </c>
      <c r="H100" s="147">
        <f t="shared" si="11"/>
        <v>2.4870820668693012</v>
      </c>
      <c r="I100" s="231">
        <v>0.49159999999999998</v>
      </c>
      <c r="J100" s="147">
        <f t="shared" si="11"/>
        <v>7.1257354543473372E-2</v>
      </c>
      <c r="K100" s="231">
        <v>0.47450000000000003</v>
      </c>
      <c r="L100" s="147">
        <f t="shared" si="12"/>
        <v>-3.4784377542717571E-2</v>
      </c>
      <c r="M100" s="231">
        <v>0.55149999999999999</v>
      </c>
      <c r="N100" s="147">
        <f t="shared" si="13"/>
        <v>0.16227608008429906</v>
      </c>
    </row>
    <row r="101" spans="2:14" x14ac:dyDescent="0.25">
      <c r="B101" s="145" t="s">
        <v>81</v>
      </c>
      <c r="C101" s="231">
        <v>0</v>
      </c>
      <c r="D101" s="147"/>
      <c r="E101" s="231">
        <v>0.13250000000000001</v>
      </c>
      <c r="F101" s="147" t="str">
        <f t="shared" si="11"/>
        <v>-</v>
      </c>
      <c r="G101" s="231">
        <v>0.2661</v>
      </c>
      <c r="H101" s="147">
        <f t="shared" si="11"/>
        <v>1.0083018867924527</v>
      </c>
      <c r="I101" s="231">
        <v>0.35649999999999998</v>
      </c>
      <c r="J101" s="147">
        <f t="shared" si="11"/>
        <v>0.3397219090567456</v>
      </c>
      <c r="K101" s="231">
        <v>0.4093</v>
      </c>
      <c r="L101" s="147">
        <f t="shared" si="12"/>
        <v>0.14810659186535768</v>
      </c>
      <c r="M101" s="231">
        <v>0.41439999999999999</v>
      </c>
      <c r="N101" s="147">
        <f t="shared" si="13"/>
        <v>1.2460298069875364E-2</v>
      </c>
    </row>
    <row r="102" spans="2:14" x14ac:dyDescent="0.25">
      <c r="B102" s="145" t="s">
        <v>83</v>
      </c>
      <c r="C102" s="231">
        <v>0</v>
      </c>
      <c r="D102" s="147"/>
      <c r="E102" s="231">
        <v>0.14460000000000001</v>
      </c>
      <c r="F102" s="147" t="str">
        <f t="shared" si="11"/>
        <v>-</v>
      </c>
      <c r="G102" s="231">
        <v>0.32020000000000004</v>
      </c>
      <c r="H102" s="147">
        <f t="shared" si="11"/>
        <v>1.2143845089903182</v>
      </c>
      <c r="I102" s="231">
        <v>0.38009999999999999</v>
      </c>
      <c r="J102" s="147">
        <f t="shared" si="11"/>
        <v>0.1870705808869455</v>
      </c>
      <c r="K102" s="231">
        <v>0.39950000000000002</v>
      </c>
      <c r="L102" s="147">
        <f t="shared" si="12"/>
        <v>5.1039200210470925E-2</v>
      </c>
      <c r="M102" s="231">
        <v>0.46299999999999997</v>
      </c>
      <c r="N102" s="147">
        <f t="shared" si="13"/>
        <v>0.15894868585732147</v>
      </c>
    </row>
    <row r="103" spans="2:14" x14ac:dyDescent="0.25">
      <c r="B103" s="145" t="s">
        <v>85</v>
      </c>
      <c r="C103" s="231">
        <v>0</v>
      </c>
      <c r="D103" s="147"/>
      <c r="E103" s="231">
        <v>0.22769999999999999</v>
      </c>
      <c r="F103" s="147" t="str">
        <f t="shared" si="11"/>
        <v>-</v>
      </c>
      <c r="G103" s="231">
        <v>0.44600000000000001</v>
      </c>
      <c r="H103" s="147">
        <f t="shared" si="11"/>
        <v>0.95871761089152407</v>
      </c>
      <c r="I103" s="231">
        <v>0.51519999999999999</v>
      </c>
      <c r="J103" s="147">
        <f t="shared" si="11"/>
        <v>0.15515695067264579</v>
      </c>
      <c r="K103" s="231">
        <v>0.52290000000000003</v>
      </c>
      <c r="L103" s="147">
        <f t="shared" si="12"/>
        <v>1.4945652173913082E-2</v>
      </c>
      <c r="M103" s="231">
        <v>0.63790000000000002</v>
      </c>
      <c r="N103" s="147">
        <f t="shared" si="13"/>
        <v>0.21992732836106321</v>
      </c>
    </row>
    <row r="104" spans="2:14" x14ac:dyDescent="0.25">
      <c r="B104" s="145" t="s">
        <v>87</v>
      </c>
      <c r="C104" s="231">
        <v>0.21350000000000002</v>
      </c>
      <c r="D104" s="147"/>
      <c r="E104" s="231">
        <v>0.29410000000000003</v>
      </c>
      <c r="F104" s="147">
        <f t="shared" si="11"/>
        <v>0.37751756440281037</v>
      </c>
      <c r="G104" s="231">
        <v>0.53369999999999995</v>
      </c>
      <c r="H104" s="147">
        <f t="shared" si="11"/>
        <v>0.81468888133287964</v>
      </c>
      <c r="I104" s="231">
        <v>0.61020000000000008</v>
      </c>
      <c r="J104" s="147">
        <f t="shared" si="11"/>
        <v>0.14333895446880285</v>
      </c>
      <c r="K104" s="231">
        <v>0.60580000000000001</v>
      </c>
      <c r="L104" s="147">
        <f t="shared" si="12"/>
        <v>-7.2107505735825583E-3</v>
      </c>
      <c r="M104" s="231">
        <v>0.73530000000000006</v>
      </c>
      <c r="N104" s="147">
        <f t="shared" si="13"/>
        <v>0.21376691977550366</v>
      </c>
    </row>
    <row r="105" spans="2:14" x14ac:dyDescent="0.25">
      <c r="B105" s="145" t="s">
        <v>89</v>
      </c>
      <c r="C105" s="231">
        <v>0.11220000000000001</v>
      </c>
      <c r="D105" s="147"/>
      <c r="E105" s="231">
        <v>0.23929999999999998</v>
      </c>
      <c r="F105" s="147">
        <f t="shared" si="11"/>
        <v>1.1327985739750441</v>
      </c>
      <c r="G105" s="231">
        <v>0.38539999999999996</v>
      </c>
      <c r="H105" s="147">
        <f t="shared" si="11"/>
        <v>0.61053071458420383</v>
      </c>
      <c r="I105" s="231">
        <v>0.48009999999999997</v>
      </c>
      <c r="J105" s="147">
        <f t="shared" si="11"/>
        <v>0.24571873378308262</v>
      </c>
      <c r="K105" s="231">
        <v>0.4698</v>
      </c>
      <c r="L105" s="147">
        <f t="shared" si="12"/>
        <v>-2.1453863778379434E-2</v>
      </c>
      <c r="M105" s="231">
        <v>0.5343</v>
      </c>
      <c r="N105" s="147">
        <f t="shared" si="13"/>
        <v>0.13729246487867175</v>
      </c>
    </row>
    <row r="106" spans="2:14" x14ac:dyDescent="0.25">
      <c r="B106" s="145" t="s">
        <v>91</v>
      </c>
      <c r="C106" s="231">
        <v>0.08</v>
      </c>
      <c r="D106" s="147"/>
      <c r="E106" s="231">
        <v>0.3931</v>
      </c>
      <c r="F106" s="147">
        <f t="shared" si="11"/>
        <v>3.9137500000000003</v>
      </c>
      <c r="G106" s="231">
        <v>0.45100000000000001</v>
      </c>
      <c r="H106" s="147">
        <f t="shared" si="11"/>
        <v>0.14729076570847122</v>
      </c>
      <c r="I106" s="231">
        <v>0.53380000000000005</v>
      </c>
      <c r="J106" s="147">
        <f t="shared" si="11"/>
        <v>0.1835920177383592</v>
      </c>
      <c r="K106" s="231">
        <v>0.54510000000000003</v>
      </c>
      <c r="L106" s="147">
        <f t="shared" si="12"/>
        <v>2.1168977144998102E-2</v>
      </c>
      <c r="M106" s="231"/>
      <c r="N106" s="147"/>
    </row>
    <row r="107" spans="2:14" x14ac:dyDescent="0.25">
      <c r="B107" s="145" t="s">
        <v>93</v>
      </c>
      <c r="C107" s="231">
        <v>8.9700000000000002E-2</v>
      </c>
      <c r="D107" s="147"/>
      <c r="E107" s="231">
        <v>0.46700000000000003</v>
      </c>
      <c r="F107" s="147">
        <f t="shared" si="11"/>
        <v>4.2062430323299891</v>
      </c>
      <c r="G107" s="231">
        <v>0.57030000000000003</v>
      </c>
      <c r="H107" s="147">
        <f t="shared" si="11"/>
        <v>0.22119914346895064</v>
      </c>
      <c r="I107" s="231">
        <v>0.57950000000000002</v>
      </c>
      <c r="J107" s="147">
        <f t="shared" si="11"/>
        <v>1.6131860424338118E-2</v>
      </c>
      <c r="K107" s="231">
        <v>0.59079999999999999</v>
      </c>
      <c r="L107" s="147">
        <f t="shared" si="12"/>
        <v>1.9499568593615235E-2</v>
      </c>
      <c r="M107" s="231"/>
      <c r="N107" s="147"/>
    </row>
    <row r="108" spans="2:14" x14ac:dyDescent="0.25">
      <c r="B108" s="145" t="s">
        <v>95</v>
      </c>
      <c r="C108" s="231">
        <v>0.10249999999999999</v>
      </c>
      <c r="D108" s="147"/>
      <c r="E108" s="231">
        <v>0.48759999999999998</v>
      </c>
      <c r="F108" s="147">
        <f t="shared" si="11"/>
        <v>3.7570731707317071</v>
      </c>
      <c r="G108" s="231">
        <v>0.55159999999999998</v>
      </c>
      <c r="H108" s="147">
        <f t="shared" si="11"/>
        <v>0.13125512715340437</v>
      </c>
      <c r="I108" s="231">
        <v>0.58860000000000001</v>
      </c>
      <c r="J108" s="147">
        <f t="shared" si="11"/>
        <v>6.7077592458303137E-2</v>
      </c>
      <c r="K108" s="231">
        <v>0.56399999999999995</v>
      </c>
      <c r="L108" s="147">
        <f t="shared" si="12"/>
        <v>-4.1794087665647406E-2</v>
      </c>
      <c r="M108" s="231"/>
      <c r="N108" s="147"/>
    </row>
    <row r="109" spans="2:14" ht="15.75" x14ac:dyDescent="0.25">
      <c r="B109" s="148" t="s">
        <v>32</v>
      </c>
      <c r="C109" s="242">
        <f>IFERROR(AVERAGE(C97:C108),"-")</f>
        <v>0.16860833333333336</v>
      </c>
      <c r="D109" s="150"/>
      <c r="E109" s="242">
        <f>IFERROR(AVERAGE(E97:E108),"-")</f>
        <v>0.23012500000000002</v>
      </c>
      <c r="F109" s="150">
        <f t="shared" si="11"/>
        <v>0.36484950328670984</v>
      </c>
      <c r="G109" s="242">
        <f>IFERROR(AVERAGE(G97:G108),"-")</f>
        <v>0.46355833333333324</v>
      </c>
      <c r="H109" s="150">
        <f t="shared" si="11"/>
        <v>1.0143762447944953</v>
      </c>
      <c r="I109" s="242">
        <f>IFERROR(AVERAGE(I97:I108),"-")</f>
        <v>0.52325833333333349</v>
      </c>
      <c r="J109" s="150">
        <f t="shared" si="11"/>
        <v>0.12878638071440185</v>
      </c>
      <c r="K109" s="242">
        <f>IFERROR(AVERAGE(K97:K108),"-")</f>
        <v>0.5269166666666667</v>
      </c>
      <c r="L109" s="150">
        <f t="shared" si="12"/>
        <v>6.9914478189547768E-3</v>
      </c>
      <c r="M109" s="242"/>
      <c r="N109" s="150"/>
    </row>
    <row r="110" spans="2:14" ht="6" customHeight="1" x14ac:dyDescent="0.25"/>
    <row r="111" spans="2:14" x14ac:dyDescent="0.25">
      <c r="B111" s="131" t="s">
        <v>57</v>
      </c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</row>
    <row r="112" spans="2:14" x14ac:dyDescent="0.25">
      <c r="C112" s="235"/>
      <c r="K112" s="235"/>
      <c r="L112" s="235"/>
    </row>
  </sheetData>
  <mergeCells count="17">
    <mergeCell ref="C72:N72"/>
    <mergeCell ref="B92:N92"/>
    <mergeCell ref="C94:N94"/>
    <mergeCell ref="O21:O24"/>
    <mergeCell ref="B26:N26"/>
    <mergeCell ref="C28:N28"/>
    <mergeCell ref="B48:N48"/>
    <mergeCell ref="C50:N50"/>
    <mergeCell ref="B70:N70"/>
    <mergeCell ref="B4:N4"/>
    <mergeCell ref="C6:N6"/>
    <mergeCell ref="C7:D7"/>
    <mergeCell ref="E7:F7"/>
    <mergeCell ref="G7:H7"/>
    <mergeCell ref="I7:J7"/>
    <mergeCell ref="K7:L7"/>
    <mergeCell ref="M7:N7"/>
  </mergeCells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77779-84D4-4781-9A44-5DE9375B21F1}">
  <sheetPr>
    <tabColor theme="2" tint="-0.499984740745262"/>
  </sheetPr>
  <dimension ref="B4:B25"/>
  <sheetViews>
    <sheetView showGridLines="0" workbookViewId="0">
      <selection activeCell="G10" sqref="G10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x14ac:dyDescent="0.25">
      <c r="B25" t="s">
        <v>165</v>
      </c>
    </row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DD80A-D27A-4C7E-B74F-0AEF761D7580}">
  <sheetPr>
    <tabColor theme="2" tint="-9.9978637043366805E-2"/>
  </sheetPr>
  <dimension ref="B1:AW44"/>
  <sheetViews>
    <sheetView showGridLines="0" workbookViewId="0">
      <selection activeCell="G10" sqref="G10"/>
    </sheetView>
  </sheetViews>
  <sheetFormatPr baseColWidth="10" defaultRowHeight="15" x14ac:dyDescent="0.25"/>
  <cols>
    <col min="1" max="1" width="15.5703125" customWidth="1"/>
    <col min="2" max="2" width="24" customWidth="1"/>
    <col min="3" max="3" width="13.42578125" customWidth="1"/>
    <col min="4" max="4" width="16" customWidth="1"/>
    <col min="5" max="5" width="18.42578125" customWidth="1"/>
    <col min="6" max="6" width="15.42578125" customWidth="1"/>
    <col min="7" max="7" width="16.42578125" customWidth="1"/>
    <col min="8" max="8" width="16" customWidth="1"/>
    <col min="9" max="9" width="11" customWidth="1"/>
    <col min="10" max="10" width="13.85546875" customWidth="1"/>
    <col min="11" max="11" width="11" customWidth="1"/>
    <col min="12" max="14" width="11.42578125" customWidth="1"/>
    <col min="16" max="16" width="25" customWidth="1"/>
    <col min="17" max="17" width="11.28515625" customWidth="1"/>
    <col min="18" max="18" width="14.85546875" customWidth="1"/>
    <col min="19" max="19" width="14.42578125" customWidth="1"/>
    <col min="20" max="21" width="14.28515625" customWidth="1"/>
    <col min="22" max="22" width="14.42578125" customWidth="1"/>
    <col min="23" max="23" width="15" customWidth="1"/>
    <col min="24" max="24" width="11.42578125" customWidth="1"/>
    <col min="25" max="25" width="14.85546875" customWidth="1"/>
    <col min="26" max="26" width="11.42578125" customWidth="1"/>
    <col min="27" max="27" width="12.42578125" customWidth="1"/>
    <col min="28" max="28" width="10.85546875" customWidth="1"/>
    <col min="29" max="29" width="9.85546875" customWidth="1"/>
    <col min="30" max="30" width="14.5703125" customWidth="1"/>
    <col min="31" max="31" width="28.42578125" customWidth="1"/>
    <col min="32" max="36" width="17.7109375" customWidth="1"/>
    <col min="37" max="37" width="9.28515625" customWidth="1"/>
    <col min="38" max="38" width="14.140625" customWidth="1"/>
    <col min="39" max="39" width="7.85546875" customWidth="1"/>
    <col min="40" max="44" width="14.42578125" hidden="1" customWidth="1"/>
    <col min="45" max="45" width="9.85546875" hidden="1" customWidth="1"/>
    <col min="46" max="46" width="13" hidden="1" customWidth="1"/>
    <col min="47" max="47" width="9.5703125" hidden="1" customWidth="1"/>
    <col min="48" max="48" width="11.85546875" hidden="1" customWidth="1"/>
    <col min="49" max="49" width="9" hidden="1" customWidth="1"/>
  </cols>
  <sheetData>
    <row r="1" spans="2:48" ht="42.75" customHeight="1" x14ac:dyDescent="0.25"/>
    <row r="3" spans="2:48" x14ac:dyDescent="0.25">
      <c r="N3" s="243"/>
    </row>
    <row r="5" spans="2:48" ht="50.25" customHeight="1" thickBot="1" x14ac:dyDescent="0.3">
      <c r="B5" s="12" t="s">
        <v>166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P5" s="12" t="s">
        <v>167</v>
      </c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D5" s="12" t="s">
        <v>168</v>
      </c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73"/>
      <c r="AV5" s="173"/>
    </row>
    <row r="6" spans="2:48" ht="6" customHeight="1" thickBot="1" x14ac:dyDescent="0.3"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8"/>
      <c r="N6" s="108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8"/>
      <c r="AB6" s="108"/>
      <c r="AD6" s="108"/>
      <c r="AE6" s="108"/>
      <c r="AF6" s="108"/>
      <c r="AG6" s="108"/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8"/>
    </row>
    <row r="7" spans="2:48" ht="51.75" customHeight="1" thickBot="1" x14ac:dyDescent="0.3">
      <c r="B7" s="109"/>
      <c r="C7" s="244" t="s">
        <v>266</v>
      </c>
      <c r="D7" s="244" t="s">
        <v>267</v>
      </c>
      <c r="E7" s="244" t="s">
        <v>268</v>
      </c>
      <c r="F7" s="116" t="s">
        <v>269</v>
      </c>
      <c r="G7" s="116" t="s">
        <v>270</v>
      </c>
      <c r="H7" s="15" t="str">
        <f>CONCATENATE("var. ",RIGHT(G7,2),"/",RIGHT(F7,2))</f>
        <v>var. 25/24</v>
      </c>
      <c r="I7" s="244" t="s">
        <v>228</v>
      </c>
      <c r="J7" s="245" t="s">
        <v>229</v>
      </c>
      <c r="K7" s="245" t="s">
        <v>230</v>
      </c>
      <c r="L7" s="14" t="s">
        <v>231</v>
      </c>
      <c r="M7" s="14" t="s">
        <v>232</v>
      </c>
      <c r="N7" s="15" t="str">
        <f>CONCATENATE("var. ",RIGHT(M7,2),"/",RIGHT(L7,2))</f>
        <v>var. 25/24</v>
      </c>
      <c r="P7" s="109"/>
      <c r="Q7" s="244" t="s">
        <v>266</v>
      </c>
      <c r="R7" s="245" t="s">
        <v>267</v>
      </c>
      <c r="S7" s="245" t="s">
        <v>268</v>
      </c>
      <c r="T7" s="116" t="s">
        <v>269</v>
      </c>
      <c r="U7" s="116" t="s">
        <v>270</v>
      </c>
      <c r="V7" s="15" t="str">
        <f>CONCATENATE("var. ",RIGHT(U7,2),"/",RIGHT(T7,2))</f>
        <v>var. 25/24</v>
      </c>
      <c r="W7" s="244" t="s">
        <v>228</v>
      </c>
      <c r="X7" s="244" t="s">
        <v>229</v>
      </c>
      <c r="Y7" s="244" t="s">
        <v>230</v>
      </c>
      <c r="Z7" s="14" t="s">
        <v>231</v>
      </c>
      <c r="AA7" s="14" t="s">
        <v>232</v>
      </c>
      <c r="AB7" s="15" t="str">
        <f>CONCATENATE("var. ",RIGHT(AA7,2),"/",RIGHT(Z7,2))</f>
        <v>var. 25/24</v>
      </c>
      <c r="AD7" s="109"/>
      <c r="AE7" s="244" t="s">
        <v>266</v>
      </c>
      <c r="AF7" s="245" t="s">
        <v>267</v>
      </c>
      <c r="AG7" s="245" t="s">
        <v>268</v>
      </c>
      <c r="AH7" s="116" t="s">
        <v>269</v>
      </c>
      <c r="AI7" s="116" t="s">
        <v>270</v>
      </c>
      <c r="AJ7" s="15" t="str">
        <f>CONCATENATE("var. ",RIGHT(AI7,2),"/",RIGHT(AH7,2))</f>
        <v>var. 25/24</v>
      </c>
      <c r="AK7" s="246" t="str">
        <f>CONCATENATE("dif. ",RIGHT(AI7,2),"/",RIGHT(AH7,2))</f>
        <v>dif. 25/24</v>
      </c>
      <c r="AL7" s="247" t="str">
        <f>CONCATENATE("cuota ",RIGHT(AI7,2))</f>
        <v>cuota 25</v>
      </c>
      <c r="AM7" s="244" t="s">
        <v>228</v>
      </c>
      <c r="AN7" s="245" t="s">
        <v>229</v>
      </c>
      <c r="AO7" s="245" t="s">
        <v>230</v>
      </c>
      <c r="AP7" s="14" t="s">
        <v>231</v>
      </c>
      <c r="AQ7" s="14" t="s">
        <v>232</v>
      </c>
      <c r="AR7" s="15" t="str">
        <f>CONCATENATE("var. ",RIGHT(AQ7,2),"/",RIGHT(AP7,2))</f>
        <v>var. 25/24</v>
      </c>
      <c r="AS7" s="246" t="str">
        <f>CONCATENATE("dif. ",RIGHT(AQ7,2),"/",RIGHT(AP7,2))</f>
        <v>dif. 25/24</v>
      </c>
      <c r="AT7" s="246" t="str">
        <f>CONCATENATE("var. ",RIGHT(AQ7,2),"/",RIGHT(AM7,2))</f>
        <v>var. 25/21</v>
      </c>
      <c r="AU7" s="246" t="str">
        <f>CONCATENATE("dif. ",RIGHT(AQ7,2),"/",RIGHT(AM7,2))</f>
        <v>dif. 25/21</v>
      </c>
      <c r="AV7" s="247" t="str">
        <f>CONCATENATE("cuota ",RIGHT(AQ7,2))</f>
        <v>cuota 25</v>
      </c>
    </row>
    <row r="8" spans="2:48" ht="15.75" x14ac:dyDescent="0.25">
      <c r="B8" s="248" t="s">
        <v>45</v>
      </c>
      <c r="C8" s="249">
        <v>91.069380211097865</v>
      </c>
      <c r="D8" s="250">
        <v>103.29823765091633</v>
      </c>
      <c r="E8" s="250">
        <v>109.9946319260003</v>
      </c>
      <c r="F8" s="251">
        <v>121.66499039316359</v>
      </c>
      <c r="G8" s="250">
        <v>129.36465836400424</v>
      </c>
      <c r="H8" s="163">
        <f>G8/F8-1</f>
        <v>6.3285814152115316E-2</v>
      </c>
      <c r="I8" s="249">
        <v>90.79</v>
      </c>
      <c r="J8" s="252">
        <v>95.91</v>
      </c>
      <c r="K8" s="252">
        <v>103.2</v>
      </c>
      <c r="L8" s="252">
        <v>114.99</v>
      </c>
      <c r="M8" s="252">
        <v>119.26</v>
      </c>
      <c r="N8" s="163">
        <f t="shared" ref="N8:N18" si="0">M8/L8-1</f>
        <v>3.7133663796852012E-2</v>
      </c>
      <c r="P8" s="248" t="s">
        <v>45</v>
      </c>
      <c r="Q8" s="249">
        <v>39.070215757544972</v>
      </c>
      <c r="R8" s="251">
        <v>76.933465226428424</v>
      </c>
      <c r="S8" s="251">
        <v>89.062594194965328</v>
      </c>
      <c r="T8" s="251">
        <v>100.797098408895</v>
      </c>
      <c r="U8" s="251">
        <v>106.57431089734064</v>
      </c>
      <c r="V8" s="163">
        <f t="shared" ref="V8:V18" si="1">U8/T8-1</f>
        <v>5.731526581261015E-2</v>
      </c>
      <c r="W8" s="249">
        <v>58.86</v>
      </c>
      <c r="X8" s="252">
        <v>76.260000000000005</v>
      </c>
      <c r="Y8" s="252">
        <v>84.95</v>
      </c>
      <c r="Z8" s="252">
        <v>96.18</v>
      </c>
      <c r="AA8" s="252">
        <v>98.98</v>
      </c>
      <c r="AB8" s="163">
        <f t="shared" ref="AB8:AB18" si="2">AA8/Z8-1</f>
        <v>2.9112081513828159E-2</v>
      </c>
      <c r="AD8" s="86" t="s">
        <v>45</v>
      </c>
      <c r="AE8" s="253">
        <v>306312245.67000002</v>
      </c>
      <c r="AF8" s="162">
        <v>1085607020.7099998</v>
      </c>
      <c r="AG8" s="162">
        <v>1282076798.0699999</v>
      </c>
      <c r="AH8" s="162">
        <v>1472254155.6700003</v>
      </c>
      <c r="AI8" s="162">
        <v>1531663528.28</v>
      </c>
      <c r="AJ8" s="163">
        <f t="shared" ref="AJ8:AJ18" si="3">AI8/AH8-1</f>
        <v>4.0352660837261078E-2</v>
      </c>
      <c r="AK8" s="162">
        <f t="shared" ref="AK8:AK18" si="4">AI8-AH8</f>
        <v>59409372.609999657</v>
      </c>
      <c r="AL8" s="164">
        <f t="shared" ref="AL8:AL18" si="5">AI8/AI$8</f>
        <v>1</v>
      </c>
      <c r="AM8" s="254">
        <v>79488939.680000007</v>
      </c>
      <c r="AN8" s="255">
        <v>119657578.95999999</v>
      </c>
      <c r="AO8" s="255">
        <v>136532114.59</v>
      </c>
      <c r="AP8" s="255">
        <v>154898697.19999999</v>
      </c>
      <c r="AQ8" s="255">
        <v>156630760.02000001</v>
      </c>
      <c r="AR8" s="163">
        <f t="shared" ref="AR8:AR18" si="6">AQ8/AP8-1</f>
        <v>1.1181906957962617E-2</v>
      </c>
      <c r="AS8" s="162">
        <f t="shared" ref="AS8:AS18" si="7">AQ8-AP8</f>
        <v>1732062.8200000226</v>
      </c>
      <c r="AT8" s="163">
        <f t="shared" ref="AT8:AT18" si="8">AQ8/AM8-1</f>
        <v>0.97047237830258104</v>
      </c>
      <c r="AU8" s="162">
        <f t="shared" ref="AU8:AU18" si="9">AQ8-AM8</f>
        <v>77141820.340000004</v>
      </c>
      <c r="AV8" s="164">
        <f t="shared" ref="AV8:AV18" si="10">AQ8/AQ$8</f>
        <v>1</v>
      </c>
    </row>
    <row r="9" spans="2:48" x14ac:dyDescent="0.25">
      <c r="B9" s="18" t="s">
        <v>46</v>
      </c>
      <c r="C9" s="256">
        <v>116.11456663753094</v>
      </c>
      <c r="D9" s="257">
        <v>127.56544838319554</v>
      </c>
      <c r="E9" s="257">
        <v>133.71815371019682</v>
      </c>
      <c r="F9" s="257">
        <v>146.60236764592418</v>
      </c>
      <c r="G9" s="257">
        <v>154.44529921093016</v>
      </c>
      <c r="H9" s="97">
        <f>G9/F9-1</f>
        <v>5.3497987044440753E-2</v>
      </c>
      <c r="I9" s="256">
        <v>110.59</v>
      </c>
      <c r="J9" s="257">
        <v>113.51</v>
      </c>
      <c r="K9" s="257">
        <v>121.09</v>
      </c>
      <c r="L9" s="257">
        <v>133.80000000000001</v>
      </c>
      <c r="M9" s="257">
        <v>137.31</v>
      </c>
      <c r="N9" s="97">
        <f t="shared" si="0"/>
        <v>2.6233183856502196E-2</v>
      </c>
      <c r="P9" s="18" t="s">
        <v>46</v>
      </c>
      <c r="Q9" s="256">
        <v>54.260030644457672</v>
      </c>
      <c r="R9" s="257">
        <v>103.08931734441472</v>
      </c>
      <c r="S9" s="257">
        <v>114.07144773444791</v>
      </c>
      <c r="T9" s="257">
        <v>125.80164989616743</v>
      </c>
      <c r="U9" s="257">
        <v>131.56081645906457</v>
      </c>
      <c r="V9" s="97">
        <f t="shared" si="1"/>
        <v>4.5779737925937924E-2</v>
      </c>
      <c r="W9" s="256">
        <v>81.239999999999995</v>
      </c>
      <c r="X9" s="257">
        <v>96.8</v>
      </c>
      <c r="Y9" s="257">
        <v>104.87</v>
      </c>
      <c r="Z9" s="257">
        <v>116.86</v>
      </c>
      <c r="AA9" s="257">
        <v>115.89</v>
      </c>
      <c r="AB9" s="97">
        <f t="shared" si="2"/>
        <v>-8.3005305493752957E-3</v>
      </c>
      <c r="AD9" s="18" t="s">
        <v>46</v>
      </c>
      <c r="AE9" s="258">
        <v>159592697.41000003</v>
      </c>
      <c r="AF9" s="70">
        <v>529239752.11999995</v>
      </c>
      <c r="AG9" s="70">
        <v>610441225.04999995</v>
      </c>
      <c r="AH9" s="70">
        <v>682827011.81999993</v>
      </c>
      <c r="AI9" s="70">
        <v>677322270.67999995</v>
      </c>
      <c r="AJ9" s="97">
        <f t="shared" si="3"/>
        <v>-8.0616921192495639E-3</v>
      </c>
      <c r="AK9" s="70">
        <f t="shared" si="4"/>
        <v>-5504741.1399999857</v>
      </c>
      <c r="AL9" s="124">
        <f t="shared" si="5"/>
        <v>0.44221348760625462</v>
      </c>
      <c r="AM9" s="259">
        <v>40620231.170000002</v>
      </c>
      <c r="AN9" s="260">
        <v>54807801.740000002</v>
      </c>
      <c r="AO9" s="260">
        <v>62550119.329999998</v>
      </c>
      <c r="AP9" s="260">
        <v>69335684.719999999</v>
      </c>
      <c r="AQ9" s="260">
        <v>66059173.109999999</v>
      </c>
      <c r="AR9" s="97">
        <f t="shared" si="6"/>
        <v>-4.7255776347080447E-2</v>
      </c>
      <c r="AS9" s="70">
        <f t="shared" si="7"/>
        <v>-3276511.6099999994</v>
      </c>
      <c r="AT9" s="97">
        <f t="shared" si="8"/>
        <v>0.6262628549191489</v>
      </c>
      <c r="AU9" s="70">
        <f t="shared" si="9"/>
        <v>25438941.939999998</v>
      </c>
      <c r="AV9" s="124">
        <f t="shared" si="10"/>
        <v>0.4217509581231999</v>
      </c>
    </row>
    <row r="10" spans="2:48" x14ac:dyDescent="0.25">
      <c r="B10" s="24" t="s">
        <v>47</v>
      </c>
      <c r="C10" s="256">
        <v>77.447569223898185</v>
      </c>
      <c r="D10" s="257">
        <v>91.156906794478274</v>
      </c>
      <c r="E10" s="257">
        <v>98.386754095227644</v>
      </c>
      <c r="F10" s="257">
        <v>112.4581434025299</v>
      </c>
      <c r="G10" s="257">
        <v>122.28636329557098</v>
      </c>
      <c r="H10" s="97">
        <f>G10/F10-1</f>
        <v>8.7394470473002528E-2</v>
      </c>
      <c r="I10" s="256">
        <v>83.36</v>
      </c>
      <c r="J10" s="257">
        <v>92.01</v>
      </c>
      <c r="K10" s="257">
        <v>95.26</v>
      </c>
      <c r="L10" s="257">
        <v>109.97</v>
      </c>
      <c r="M10" s="257">
        <v>115.75</v>
      </c>
      <c r="N10" s="97">
        <f t="shared" si="0"/>
        <v>5.2559789033372661E-2</v>
      </c>
      <c r="P10" s="24" t="s">
        <v>47</v>
      </c>
      <c r="Q10" s="256">
        <v>28.096422265804478</v>
      </c>
      <c r="R10" s="257">
        <v>67.596043762907556</v>
      </c>
      <c r="S10" s="257">
        <v>80.07520949776405</v>
      </c>
      <c r="T10" s="257">
        <v>93.934784079687773</v>
      </c>
      <c r="U10" s="257">
        <v>100.37719721190969</v>
      </c>
      <c r="V10" s="97">
        <f t="shared" si="1"/>
        <v>6.8583892488182308E-2</v>
      </c>
      <c r="W10" s="256">
        <v>45.21</v>
      </c>
      <c r="X10" s="257">
        <v>73.95</v>
      </c>
      <c r="Y10" s="257">
        <v>79.42</v>
      </c>
      <c r="Z10" s="257">
        <v>92.31</v>
      </c>
      <c r="AA10" s="257">
        <v>97.92</v>
      </c>
      <c r="AB10" s="97">
        <f t="shared" si="2"/>
        <v>6.0773480662983381E-2</v>
      </c>
      <c r="AD10" s="24" t="s">
        <v>47</v>
      </c>
      <c r="AE10" s="258">
        <v>54643721.259999998</v>
      </c>
      <c r="AF10" s="70">
        <v>268240407.28</v>
      </c>
      <c r="AG10" s="70">
        <v>313022583.24000001</v>
      </c>
      <c r="AH10" s="70">
        <v>371808488.12</v>
      </c>
      <c r="AI10" s="70">
        <v>396157936.71999997</v>
      </c>
      <c r="AJ10" s="97">
        <f t="shared" si="3"/>
        <v>6.5489221946275933E-2</v>
      </c>
      <c r="AK10" s="70">
        <f t="shared" si="4"/>
        <v>24349448.599999964</v>
      </c>
      <c r="AL10" s="124">
        <f t="shared" si="5"/>
        <v>0.25864553761678344</v>
      </c>
      <c r="AM10" s="259">
        <v>17332275.870000001</v>
      </c>
      <c r="AN10" s="260">
        <v>33224281.379999999</v>
      </c>
      <c r="AO10" s="260">
        <v>35088456.539999999</v>
      </c>
      <c r="AP10" s="260">
        <v>40692426.149999999</v>
      </c>
      <c r="AQ10" s="260">
        <v>42142011.57</v>
      </c>
      <c r="AR10" s="97">
        <f t="shared" si="6"/>
        <v>3.5622978454431742E-2</v>
      </c>
      <c r="AS10" s="70">
        <f t="shared" si="7"/>
        <v>1449585.4200000018</v>
      </c>
      <c r="AT10" s="97">
        <f t="shared" si="8"/>
        <v>1.4314182330170815</v>
      </c>
      <c r="AU10" s="70">
        <f t="shared" si="9"/>
        <v>24809735.699999999</v>
      </c>
      <c r="AV10" s="124">
        <f t="shared" si="10"/>
        <v>0.26905322788843605</v>
      </c>
    </row>
    <row r="11" spans="2:48" x14ac:dyDescent="0.25">
      <c r="B11" s="24" t="s">
        <v>48</v>
      </c>
      <c r="C11" s="256">
        <v>62.252206793155345</v>
      </c>
      <c r="D11" s="257">
        <v>73.115820519666087</v>
      </c>
      <c r="E11" s="257">
        <v>77.188792727031</v>
      </c>
      <c r="F11" s="257">
        <v>85.301941675456575</v>
      </c>
      <c r="G11" s="257">
        <v>97.769370236466358</v>
      </c>
      <c r="H11" s="97">
        <f>G11/F11-1</f>
        <v>0.14615644516561987</v>
      </c>
      <c r="I11" s="256">
        <v>66.47</v>
      </c>
      <c r="J11" s="257">
        <v>78.08</v>
      </c>
      <c r="K11" s="257">
        <v>78.900000000000006</v>
      </c>
      <c r="L11" s="257">
        <v>82.41</v>
      </c>
      <c r="M11" s="257">
        <v>86.32</v>
      </c>
      <c r="N11" s="97">
        <f t="shared" si="0"/>
        <v>4.7445698337580389E-2</v>
      </c>
      <c r="P11" s="24" t="s">
        <v>48</v>
      </c>
      <c r="Q11" s="256">
        <v>27.88787801648812</v>
      </c>
      <c r="R11" s="257">
        <v>49.359293251360633</v>
      </c>
      <c r="S11" s="257">
        <v>48.672757237708105</v>
      </c>
      <c r="T11" s="257">
        <v>59.208941638137979</v>
      </c>
      <c r="U11" s="257">
        <v>65.611382402563663</v>
      </c>
      <c r="V11" s="97">
        <f t="shared" si="1"/>
        <v>0.10813300469977838</v>
      </c>
      <c r="W11" s="256">
        <v>41.39</v>
      </c>
      <c r="X11" s="257">
        <v>52.42</v>
      </c>
      <c r="Y11" s="257">
        <v>46.32</v>
      </c>
      <c r="Z11" s="257">
        <v>56.32</v>
      </c>
      <c r="AA11" s="257">
        <v>60.15</v>
      </c>
      <c r="AB11" s="97">
        <f t="shared" si="2"/>
        <v>6.8004261363636243E-2</v>
      </c>
      <c r="AD11" s="24" t="s">
        <v>48</v>
      </c>
      <c r="AE11" s="258">
        <v>2313894.2200000002</v>
      </c>
      <c r="AF11" s="70">
        <v>5496393.5700000003</v>
      </c>
      <c r="AG11" s="70">
        <v>5867835.2400000002</v>
      </c>
      <c r="AH11" s="70">
        <v>7172406.2599999998</v>
      </c>
      <c r="AI11" s="70">
        <v>8102222.0099999998</v>
      </c>
      <c r="AJ11" s="97">
        <f t="shared" si="3"/>
        <v>0.1296379089937385</v>
      </c>
      <c r="AK11" s="70">
        <f t="shared" si="4"/>
        <v>929815.75</v>
      </c>
      <c r="AL11" s="124">
        <f t="shared" si="5"/>
        <v>5.2898184623475942E-3</v>
      </c>
      <c r="AM11" s="259">
        <v>481806.9</v>
      </c>
      <c r="AN11" s="260">
        <v>682570.84</v>
      </c>
      <c r="AO11" s="260">
        <v>625306.80000000005</v>
      </c>
      <c r="AP11" s="260">
        <v>763726.75</v>
      </c>
      <c r="AQ11" s="260">
        <v>824654.83</v>
      </c>
      <c r="AR11" s="97">
        <f t="shared" si="6"/>
        <v>7.9777328737012265E-2</v>
      </c>
      <c r="AS11" s="70">
        <f t="shared" si="7"/>
        <v>60928.079999999958</v>
      </c>
      <c r="AT11" s="97">
        <f t="shared" si="8"/>
        <v>0.71158783736804088</v>
      </c>
      <c r="AU11" s="70">
        <f t="shared" si="9"/>
        <v>342847.92999999993</v>
      </c>
      <c r="AV11" s="124">
        <f t="shared" si="10"/>
        <v>5.2649609176045669E-3</v>
      </c>
    </row>
    <row r="12" spans="2:48" x14ac:dyDescent="0.25">
      <c r="B12" s="24" t="s">
        <v>49</v>
      </c>
      <c r="C12" s="256">
        <v>145.02541470990838</v>
      </c>
      <c r="D12" s="257">
        <v>197.70591627292606</v>
      </c>
      <c r="E12" s="257">
        <v>190.78024471132977</v>
      </c>
      <c r="F12" s="257">
        <v>196.95834405586862</v>
      </c>
      <c r="G12" s="257">
        <v>208.65681094008661</v>
      </c>
      <c r="H12" s="97">
        <f t="shared" ref="H12:H18" si="11">G12/F12-1</f>
        <v>5.9395639927291688E-2</v>
      </c>
      <c r="I12" s="256">
        <v>145.12</v>
      </c>
      <c r="J12" s="257">
        <v>117.11</v>
      </c>
      <c r="K12" s="257">
        <v>206.94</v>
      </c>
      <c r="L12" s="257">
        <v>201.77</v>
      </c>
      <c r="M12" s="257">
        <v>188.6</v>
      </c>
      <c r="N12" s="97">
        <f t="shared" si="0"/>
        <v>-6.5272339792833534E-2</v>
      </c>
      <c r="P12" s="24" t="s">
        <v>49</v>
      </c>
      <c r="Q12" s="256">
        <v>32.24572252464683</v>
      </c>
      <c r="R12" s="257">
        <v>98.304300114448282</v>
      </c>
      <c r="S12" s="257">
        <v>102.10838505580971</v>
      </c>
      <c r="T12" s="257">
        <v>116.31423703748221</v>
      </c>
      <c r="U12" s="257">
        <v>154.92296436108771</v>
      </c>
      <c r="V12" s="97">
        <f t="shared" si="1"/>
        <v>0.33193466515336256</v>
      </c>
      <c r="W12" s="256">
        <v>71.989999999999995</v>
      </c>
      <c r="X12" s="257">
        <v>61.82</v>
      </c>
      <c r="Y12" s="257">
        <v>97.35</v>
      </c>
      <c r="Z12" s="257">
        <v>109.32</v>
      </c>
      <c r="AA12" s="257">
        <v>138.58000000000001</v>
      </c>
      <c r="AB12" s="97">
        <f t="shared" si="2"/>
        <v>0.26765459202341768</v>
      </c>
      <c r="AD12" s="24" t="s">
        <v>49</v>
      </c>
      <c r="AE12" s="258">
        <v>11528851.700000001</v>
      </c>
      <c r="AF12" s="70">
        <v>43858486.32</v>
      </c>
      <c r="AG12" s="70">
        <v>42685134.180000007</v>
      </c>
      <c r="AH12" s="70">
        <v>41549701.189999998</v>
      </c>
      <c r="AI12" s="70">
        <v>71476975.430000007</v>
      </c>
      <c r="AJ12" s="97">
        <f t="shared" si="3"/>
        <v>0.72027652143988896</v>
      </c>
      <c r="AK12" s="70">
        <f t="shared" si="4"/>
        <v>29927274.24000001</v>
      </c>
      <c r="AL12" s="124">
        <f t="shared" si="5"/>
        <v>4.6666238446159213E-2</v>
      </c>
      <c r="AM12" s="259">
        <v>2984832.55</v>
      </c>
      <c r="AN12" s="260">
        <v>3062020.17</v>
      </c>
      <c r="AO12" s="260">
        <v>4468236.7300000004</v>
      </c>
      <c r="AP12" s="260">
        <v>5073498.01</v>
      </c>
      <c r="AQ12" s="260">
        <v>7026115.7800000003</v>
      </c>
      <c r="AR12" s="97">
        <f t="shared" si="6"/>
        <v>0.3848661744128683</v>
      </c>
      <c r="AS12" s="70">
        <f t="shared" si="7"/>
        <v>1952617.7700000005</v>
      </c>
      <c r="AT12" s="97">
        <f t="shared" si="8"/>
        <v>1.3539396808038697</v>
      </c>
      <c r="AU12" s="70">
        <f t="shared" si="9"/>
        <v>4041283.2300000004</v>
      </c>
      <c r="AV12" s="124">
        <f t="shared" si="10"/>
        <v>4.485782855872527E-2</v>
      </c>
    </row>
    <row r="13" spans="2:48" x14ac:dyDescent="0.25">
      <c r="B13" s="24" t="s">
        <v>50</v>
      </c>
      <c r="C13" s="256">
        <v>45.431996001572195</v>
      </c>
      <c r="D13" s="257">
        <v>57.011049776373788</v>
      </c>
      <c r="E13" s="257">
        <v>64.242639587111185</v>
      </c>
      <c r="F13" s="257">
        <v>72.971924235634589</v>
      </c>
      <c r="G13" s="257">
        <v>81.211435876400515</v>
      </c>
      <c r="H13" s="97">
        <f t="shared" si="11"/>
        <v>0.11291344893358723</v>
      </c>
      <c r="I13" s="256">
        <v>49.5</v>
      </c>
      <c r="J13" s="257">
        <v>56.54</v>
      </c>
      <c r="K13" s="257">
        <v>63.46</v>
      </c>
      <c r="L13" s="257">
        <v>71.25</v>
      </c>
      <c r="M13" s="257">
        <v>82.21</v>
      </c>
      <c r="N13" s="97">
        <f t="shared" si="0"/>
        <v>0.15382456140350875</v>
      </c>
      <c r="P13" s="24" t="s">
        <v>50</v>
      </c>
      <c r="Q13" s="256">
        <v>22.074445220351141</v>
      </c>
      <c r="R13" s="257">
        <v>39.178031482317891</v>
      </c>
      <c r="S13" s="257">
        <v>50.356831767424417</v>
      </c>
      <c r="T13" s="257">
        <v>59.253101479720442</v>
      </c>
      <c r="U13" s="257">
        <v>65.705713806779869</v>
      </c>
      <c r="V13" s="97">
        <f t="shared" si="1"/>
        <v>0.10889914900518494</v>
      </c>
      <c r="W13" s="256">
        <v>32.75</v>
      </c>
      <c r="X13" s="257">
        <v>43.87</v>
      </c>
      <c r="Y13" s="257">
        <v>51.13</v>
      </c>
      <c r="Z13" s="257">
        <v>59.56</v>
      </c>
      <c r="AA13" s="257">
        <v>67.400000000000006</v>
      </c>
      <c r="AB13" s="97">
        <f t="shared" si="2"/>
        <v>0.13163196776359976</v>
      </c>
      <c r="AD13" s="24" t="s">
        <v>50</v>
      </c>
      <c r="AE13" s="258">
        <v>26544946.129999999</v>
      </c>
      <c r="AF13" s="70">
        <v>95422144.319999993</v>
      </c>
      <c r="AG13" s="70">
        <v>128217417.26000001</v>
      </c>
      <c r="AH13" s="70">
        <v>158145908.91000003</v>
      </c>
      <c r="AI13" s="70">
        <v>173395097.75999999</v>
      </c>
      <c r="AJ13" s="97">
        <f t="shared" si="3"/>
        <v>9.6424807667191637E-2</v>
      </c>
      <c r="AK13" s="70">
        <f t="shared" si="4"/>
        <v>15249188.849999964</v>
      </c>
      <c r="AL13" s="124">
        <f t="shared" si="5"/>
        <v>0.11320704225079781</v>
      </c>
      <c r="AM13" s="259">
        <v>7411200.8499999996</v>
      </c>
      <c r="AN13" s="260">
        <v>11547651.800000001</v>
      </c>
      <c r="AO13" s="260">
        <v>14509974.98</v>
      </c>
      <c r="AP13" s="260">
        <v>17443566.960000001</v>
      </c>
      <c r="AQ13" s="260">
        <v>19644201.199999999</v>
      </c>
      <c r="AR13" s="97">
        <f t="shared" si="6"/>
        <v>0.12615735331232947</v>
      </c>
      <c r="AS13" s="70">
        <f t="shared" si="7"/>
        <v>2200634.2399999984</v>
      </c>
      <c r="AT13" s="97">
        <f t="shared" si="8"/>
        <v>1.6506097456527575</v>
      </c>
      <c r="AU13" s="70">
        <f t="shared" si="9"/>
        <v>12233000.35</v>
      </c>
      <c r="AV13" s="124">
        <f t="shared" si="10"/>
        <v>0.12541726285112614</v>
      </c>
    </row>
    <row r="14" spans="2:48" x14ac:dyDescent="0.25">
      <c r="B14" s="24" t="s">
        <v>51</v>
      </c>
      <c r="C14" s="256">
        <v>78.991272382036271</v>
      </c>
      <c r="D14" s="257">
        <v>85.661357201086574</v>
      </c>
      <c r="E14" s="257">
        <v>93.622227435458925</v>
      </c>
      <c r="F14" s="257">
        <v>105.5707711259422</v>
      </c>
      <c r="G14" s="257">
        <v>113.37067734746331</v>
      </c>
      <c r="H14" s="97">
        <f t="shared" si="11"/>
        <v>7.3883198335418898E-2</v>
      </c>
      <c r="I14" s="256">
        <v>77.52</v>
      </c>
      <c r="J14" s="257">
        <v>83.08</v>
      </c>
      <c r="K14" s="257">
        <v>86.77</v>
      </c>
      <c r="L14" s="257">
        <v>96.5</v>
      </c>
      <c r="M14" s="257">
        <v>106.48</v>
      </c>
      <c r="N14" s="97">
        <f t="shared" si="0"/>
        <v>0.10341968911917099</v>
      </c>
      <c r="P14" s="24" t="s">
        <v>51</v>
      </c>
      <c r="Q14" s="256">
        <v>36.686693882791289</v>
      </c>
      <c r="R14" s="257">
        <v>61.442744882519797</v>
      </c>
      <c r="S14" s="257">
        <v>68.753626238540946</v>
      </c>
      <c r="T14" s="257">
        <v>77.062558176548762</v>
      </c>
      <c r="U14" s="257">
        <v>84.406244394493825</v>
      </c>
      <c r="V14" s="97">
        <f t="shared" si="1"/>
        <v>9.5295126345544157E-2</v>
      </c>
      <c r="W14" s="256">
        <v>45.93</v>
      </c>
      <c r="X14" s="257">
        <v>57.49</v>
      </c>
      <c r="Y14" s="257">
        <v>58.36</v>
      </c>
      <c r="Z14" s="257">
        <v>62.89</v>
      </c>
      <c r="AA14" s="257">
        <v>76.58</v>
      </c>
      <c r="AB14" s="97">
        <f t="shared" si="2"/>
        <v>0.21768166640165365</v>
      </c>
      <c r="AD14" s="24" t="s">
        <v>51</v>
      </c>
      <c r="AE14" s="258">
        <v>2550448.44</v>
      </c>
      <c r="AF14" s="70">
        <v>5559044.9500000002</v>
      </c>
      <c r="AG14" s="70">
        <v>6320545.1600000001</v>
      </c>
      <c r="AH14" s="70">
        <v>7263595.96</v>
      </c>
      <c r="AI14" s="70">
        <v>7926899.3799999999</v>
      </c>
      <c r="AJ14" s="97">
        <f t="shared" si="3"/>
        <v>9.1318876167225671E-2</v>
      </c>
      <c r="AK14" s="70">
        <f t="shared" si="4"/>
        <v>663303.41999999993</v>
      </c>
      <c r="AL14" s="124">
        <f t="shared" si="5"/>
        <v>5.1753529633898161E-3</v>
      </c>
      <c r="AM14" s="259">
        <v>435462.52</v>
      </c>
      <c r="AN14" s="260">
        <v>584682.71</v>
      </c>
      <c r="AO14" s="260">
        <v>593567.82999999996</v>
      </c>
      <c r="AP14" s="260">
        <v>648994.98</v>
      </c>
      <c r="AQ14" s="260">
        <v>790339.77</v>
      </c>
      <c r="AR14" s="97">
        <f t="shared" si="6"/>
        <v>0.21779026703719651</v>
      </c>
      <c r="AS14" s="70">
        <f t="shared" si="7"/>
        <v>141344.79000000004</v>
      </c>
      <c r="AT14" s="97">
        <f t="shared" si="8"/>
        <v>0.81494326997418742</v>
      </c>
      <c r="AU14" s="70">
        <f t="shared" si="9"/>
        <v>354877.25</v>
      </c>
      <c r="AV14" s="124">
        <f t="shared" si="10"/>
        <v>5.0458784079135052E-3</v>
      </c>
    </row>
    <row r="15" spans="2:48" x14ac:dyDescent="0.25">
      <c r="B15" s="24" t="s">
        <v>52</v>
      </c>
      <c r="C15" s="256">
        <v>128.89620347432535</v>
      </c>
      <c r="D15" s="257">
        <v>122.8160418558389</v>
      </c>
      <c r="E15" s="257">
        <v>142.94760608122846</v>
      </c>
      <c r="F15" s="257">
        <v>161.79594661580293</v>
      </c>
      <c r="G15" s="257">
        <v>187.95513188581143</v>
      </c>
      <c r="H15" s="97">
        <f t="shared" si="11"/>
        <v>0.16168010272918343</v>
      </c>
      <c r="I15" s="256">
        <v>125.98</v>
      </c>
      <c r="J15" s="257">
        <v>139.87</v>
      </c>
      <c r="K15" s="257">
        <v>139.94</v>
      </c>
      <c r="L15" s="257">
        <v>154.79</v>
      </c>
      <c r="M15" s="257">
        <v>169.74</v>
      </c>
      <c r="N15" s="97">
        <f t="shared" si="0"/>
        <v>9.6582466567607828E-2</v>
      </c>
      <c r="P15" s="24" t="s">
        <v>52</v>
      </c>
      <c r="Q15" s="256">
        <v>76.200138860540562</v>
      </c>
      <c r="R15" s="257">
        <v>91.107067991600289</v>
      </c>
      <c r="S15" s="257">
        <v>116.21249856704911</v>
      </c>
      <c r="T15" s="257">
        <v>138.79785121848454</v>
      </c>
      <c r="U15" s="257">
        <v>158.57357170543386</v>
      </c>
      <c r="V15" s="97">
        <f t="shared" si="1"/>
        <v>0.14247857811444042</v>
      </c>
      <c r="W15" s="256">
        <v>99.24</v>
      </c>
      <c r="X15" s="257">
        <v>105.09</v>
      </c>
      <c r="Y15" s="257">
        <v>121.4</v>
      </c>
      <c r="Z15" s="257">
        <v>137.01</v>
      </c>
      <c r="AA15" s="257">
        <v>147.88999999999999</v>
      </c>
      <c r="AB15" s="97">
        <f t="shared" si="2"/>
        <v>7.941026202466972E-2</v>
      </c>
      <c r="AD15" s="24" t="s">
        <v>52</v>
      </c>
      <c r="AE15" s="258">
        <v>17746584.68</v>
      </c>
      <c r="AF15" s="70">
        <v>40132076.579999998</v>
      </c>
      <c r="AG15" s="70">
        <v>56631055.870000005</v>
      </c>
      <c r="AH15" s="70">
        <v>67997947.560000002</v>
      </c>
      <c r="AI15" s="70">
        <v>76038893.419999987</v>
      </c>
      <c r="AJ15" s="97">
        <f t="shared" si="3"/>
        <v>0.1182527730400218</v>
      </c>
      <c r="AK15" s="70">
        <f t="shared" si="4"/>
        <v>8040945.8599999845</v>
      </c>
      <c r="AL15" s="124">
        <f t="shared" si="5"/>
        <v>4.9644645848157511E-2</v>
      </c>
      <c r="AM15" s="259">
        <v>3751303.38</v>
      </c>
      <c r="AN15" s="260">
        <v>5627386.9400000004</v>
      </c>
      <c r="AO15" s="260">
        <v>6501029.0499999998</v>
      </c>
      <c r="AP15" s="260">
        <v>7349095.2000000002</v>
      </c>
      <c r="AQ15" s="260">
        <v>7524565.1500000004</v>
      </c>
      <c r="AR15" s="97">
        <f t="shared" si="6"/>
        <v>2.3876401818825332E-2</v>
      </c>
      <c r="AS15" s="70">
        <f t="shared" si="7"/>
        <v>175469.95000000019</v>
      </c>
      <c r="AT15" s="97">
        <f t="shared" si="8"/>
        <v>1.0058535361648091</v>
      </c>
      <c r="AU15" s="70">
        <f t="shared" si="9"/>
        <v>3773261.7700000005</v>
      </c>
      <c r="AV15" s="124">
        <f t="shared" si="10"/>
        <v>4.8040149642632118E-2</v>
      </c>
    </row>
    <row r="16" spans="2:48" x14ac:dyDescent="0.25">
      <c r="B16" s="24" t="s">
        <v>53</v>
      </c>
      <c r="C16" s="256">
        <v>64.909324555774006</v>
      </c>
      <c r="D16" s="257">
        <v>75.108727733898903</v>
      </c>
      <c r="E16" s="257">
        <v>84.656473184680365</v>
      </c>
      <c r="F16" s="257">
        <v>93.883759765557116</v>
      </c>
      <c r="G16" s="257">
        <v>100.18953016545416</v>
      </c>
      <c r="H16" s="97">
        <f t="shared" si="11"/>
        <v>6.7165720840788312E-2</v>
      </c>
      <c r="I16" s="256">
        <v>68.05</v>
      </c>
      <c r="J16" s="257">
        <v>72.56</v>
      </c>
      <c r="K16" s="257">
        <v>82.4</v>
      </c>
      <c r="L16" s="257">
        <v>91.02</v>
      </c>
      <c r="M16" s="257">
        <v>91.49</v>
      </c>
      <c r="N16" s="97">
        <f t="shared" si="0"/>
        <v>5.1637002856514957E-3</v>
      </c>
      <c r="P16" s="24" t="s">
        <v>53</v>
      </c>
      <c r="Q16" s="256">
        <v>30.775807978887137</v>
      </c>
      <c r="R16" s="257">
        <v>51.325970929787438</v>
      </c>
      <c r="S16" s="257">
        <v>58.967543053684317</v>
      </c>
      <c r="T16" s="257">
        <v>65.698341490115709</v>
      </c>
      <c r="U16" s="257">
        <v>72.285229722268056</v>
      </c>
      <c r="V16" s="97">
        <f t="shared" si="1"/>
        <v>0.10025958163865289</v>
      </c>
      <c r="W16" s="256">
        <v>40.89</v>
      </c>
      <c r="X16" s="257">
        <v>44.25</v>
      </c>
      <c r="Y16" s="257">
        <v>56.46</v>
      </c>
      <c r="Z16" s="257">
        <v>59.57</v>
      </c>
      <c r="AA16" s="257">
        <v>62.13</v>
      </c>
      <c r="AB16" s="97">
        <f t="shared" si="2"/>
        <v>4.2974651670303787E-2</v>
      </c>
      <c r="AD16" s="24" t="s">
        <v>53</v>
      </c>
      <c r="AE16" s="258">
        <v>9798679.8099999968</v>
      </c>
      <c r="AF16" s="70">
        <v>19595798.870000001</v>
      </c>
      <c r="AG16" s="70">
        <v>23892952.149999995</v>
      </c>
      <c r="AH16" s="70">
        <v>26020653.029999997</v>
      </c>
      <c r="AI16" s="70">
        <v>27768301.07</v>
      </c>
      <c r="AJ16" s="97">
        <f t="shared" si="3"/>
        <v>6.7163880859757219E-2</v>
      </c>
      <c r="AK16" s="70">
        <f t="shared" si="4"/>
        <v>1747648.0400000028</v>
      </c>
      <c r="AL16" s="124">
        <f t="shared" si="5"/>
        <v>1.8129504657712094E-2</v>
      </c>
      <c r="AM16" s="259">
        <v>1605890.04</v>
      </c>
      <c r="AN16" s="260">
        <v>2019161.55</v>
      </c>
      <c r="AO16" s="260">
        <v>2477918.77</v>
      </c>
      <c r="AP16" s="260">
        <v>2358907.9</v>
      </c>
      <c r="AQ16" s="260">
        <v>2756620.81</v>
      </c>
      <c r="AR16" s="97">
        <f t="shared" si="6"/>
        <v>0.16860044005957175</v>
      </c>
      <c r="AS16" s="70">
        <f t="shared" si="7"/>
        <v>397712.91000000015</v>
      </c>
      <c r="AT16" s="97">
        <f t="shared" si="8"/>
        <v>0.71656884427778134</v>
      </c>
      <c r="AU16" s="70">
        <f t="shared" si="9"/>
        <v>1150730.77</v>
      </c>
      <c r="AV16" s="124">
        <f t="shared" si="10"/>
        <v>1.7599485628799923E-2</v>
      </c>
    </row>
    <row r="17" spans="2:48" x14ac:dyDescent="0.25">
      <c r="B17" s="24" t="s">
        <v>54</v>
      </c>
      <c r="C17" s="256">
        <v>87.976173759410173</v>
      </c>
      <c r="D17" s="257">
        <v>113.54222224282209</v>
      </c>
      <c r="E17" s="257">
        <v>127.20271219527278</v>
      </c>
      <c r="F17" s="257">
        <v>141.34515008100104</v>
      </c>
      <c r="G17" s="257">
        <v>116.63906664144183</v>
      </c>
      <c r="H17" s="97">
        <f t="shared" si="11"/>
        <v>-0.17479257990387942</v>
      </c>
      <c r="I17" s="256">
        <v>81.89</v>
      </c>
      <c r="J17" s="257">
        <v>100.88</v>
      </c>
      <c r="K17" s="257">
        <v>114.9</v>
      </c>
      <c r="L17" s="257">
        <v>133.37</v>
      </c>
      <c r="M17" s="257">
        <v>112.21</v>
      </c>
      <c r="N17" s="97">
        <f t="shared" si="0"/>
        <v>-0.15865636949838802</v>
      </c>
      <c r="P17" s="24" t="s">
        <v>54</v>
      </c>
      <c r="Q17" s="256">
        <v>38.30690146288255</v>
      </c>
      <c r="R17" s="257">
        <v>85.768592345001522</v>
      </c>
      <c r="S17" s="257">
        <v>106.23360360033993</v>
      </c>
      <c r="T17" s="257">
        <v>121.4923751774291</v>
      </c>
      <c r="U17" s="257">
        <v>99.903434911627599</v>
      </c>
      <c r="V17" s="97">
        <f t="shared" si="1"/>
        <v>-0.17769790272247721</v>
      </c>
      <c r="W17" s="256">
        <v>55.6</v>
      </c>
      <c r="X17" s="257">
        <v>83.34</v>
      </c>
      <c r="Y17" s="257">
        <v>97.6</v>
      </c>
      <c r="Z17" s="257">
        <v>115.05</v>
      </c>
      <c r="AA17" s="257">
        <v>98.24</v>
      </c>
      <c r="AB17" s="97">
        <f t="shared" si="2"/>
        <v>-0.14611038678835286</v>
      </c>
      <c r="AD17" s="24" t="s">
        <v>54</v>
      </c>
      <c r="AE17" s="258">
        <v>14746931.270000001</v>
      </c>
      <c r="AF17" s="70">
        <v>63716539.430000007</v>
      </c>
      <c r="AG17" s="70">
        <v>77821341.640000015</v>
      </c>
      <c r="AH17" s="70">
        <v>90611134.789999992</v>
      </c>
      <c r="AI17" s="70">
        <v>74757556.340000004</v>
      </c>
      <c r="AJ17" s="97">
        <f t="shared" si="3"/>
        <v>-0.17496280657716268</v>
      </c>
      <c r="AK17" s="70">
        <f t="shared" si="4"/>
        <v>-15853578.449999988</v>
      </c>
      <c r="AL17" s="124">
        <f t="shared" si="5"/>
        <v>4.8808080208027085E-2</v>
      </c>
      <c r="AM17" s="259">
        <v>3674888.49</v>
      </c>
      <c r="AN17" s="260">
        <v>6805555.3399999999</v>
      </c>
      <c r="AO17" s="260">
        <v>7969784.6900000004</v>
      </c>
      <c r="AP17" s="260">
        <v>9394902.0399999991</v>
      </c>
      <c r="AQ17" s="260">
        <v>8078597.21</v>
      </c>
      <c r="AR17" s="97">
        <f t="shared" si="6"/>
        <v>-0.1401084145843845</v>
      </c>
      <c r="AS17" s="70">
        <f t="shared" si="7"/>
        <v>-1316304.8299999991</v>
      </c>
      <c r="AT17" s="97">
        <f t="shared" si="8"/>
        <v>1.198324447662356</v>
      </c>
      <c r="AU17" s="70">
        <f t="shared" si="9"/>
        <v>4403708.72</v>
      </c>
      <c r="AV17" s="124">
        <f t="shared" si="10"/>
        <v>5.157733518606724E-2</v>
      </c>
    </row>
    <row r="18" spans="2:48" x14ac:dyDescent="0.25">
      <c r="B18" s="29" t="s">
        <v>55</v>
      </c>
      <c r="C18" s="256">
        <v>72.80868191370773</v>
      </c>
      <c r="D18" s="257">
        <v>61.43364458127553</v>
      </c>
      <c r="E18" s="257">
        <v>67.118639328002203</v>
      </c>
      <c r="F18" s="257">
        <v>70.510168822446659</v>
      </c>
      <c r="G18" s="257">
        <v>71.528699625734646</v>
      </c>
      <c r="H18" s="97">
        <f t="shared" si="11"/>
        <v>1.4445161886546876E-2</v>
      </c>
      <c r="I18" s="256">
        <v>62.96</v>
      </c>
      <c r="J18" s="257">
        <v>58.98</v>
      </c>
      <c r="K18" s="257">
        <v>64.19</v>
      </c>
      <c r="L18" s="257">
        <v>63.32</v>
      </c>
      <c r="M18" s="257">
        <v>62.54</v>
      </c>
      <c r="N18" s="97">
        <f t="shared" si="0"/>
        <v>-1.2318382817435247E-2</v>
      </c>
      <c r="P18" s="29" t="s">
        <v>55</v>
      </c>
      <c r="Q18" s="256">
        <v>22.424748770603909</v>
      </c>
      <c r="R18" s="257">
        <v>39.849310605114908</v>
      </c>
      <c r="S18" s="257">
        <v>51.606305178527741</v>
      </c>
      <c r="T18" s="257">
        <v>54.367415463873591</v>
      </c>
      <c r="U18" s="257">
        <v>53.932787351306033</v>
      </c>
      <c r="V18" s="97">
        <f t="shared" si="1"/>
        <v>-7.9942757782253127E-3</v>
      </c>
      <c r="W18" s="256">
        <v>33.9</v>
      </c>
      <c r="X18" s="257">
        <v>35.25</v>
      </c>
      <c r="Y18" s="257">
        <v>47.95</v>
      </c>
      <c r="Z18" s="257">
        <v>47.97</v>
      </c>
      <c r="AA18" s="257">
        <v>46.58</v>
      </c>
      <c r="AB18" s="97">
        <f t="shared" si="2"/>
        <v>-2.897644361058993E-2</v>
      </c>
      <c r="AD18" s="29" t="s">
        <v>55</v>
      </c>
      <c r="AE18" s="258">
        <v>6845490.75</v>
      </c>
      <c r="AF18" s="70">
        <v>14346377.300000001</v>
      </c>
      <c r="AG18" s="70">
        <v>17176708.300000001</v>
      </c>
      <c r="AH18" s="70">
        <v>18857308.010000002</v>
      </c>
      <c r="AI18" s="70">
        <v>18717375.450000003</v>
      </c>
      <c r="AJ18" s="97">
        <f t="shared" si="3"/>
        <v>-7.4206010701948211E-3</v>
      </c>
      <c r="AK18" s="70">
        <f t="shared" si="4"/>
        <v>-139932.55999999866</v>
      </c>
      <c r="AL18" s="124">
        <f t="shared" si="5"/>
        <v>1.2220291927313113E-2</v>
      </c>
      <c r="AM18" s="259">
        <v>1191047.9099999999</v>
      </c>
      <c r="AN18" s="260">
        <v>1296466.51</v>
      </c>
      <c r="AO18" s="260">
        <v>1747719.86</v>
      </c>
      <c r="AP18" s="260">
        <v>1837894.48</v>
      </c>
      <c r="AQ18" s="260">
        <v>1784480.58</v>
      </c>
      <c r="AR18" s="97">
        <f t="shared" si="6"/>
        <v>-2.9062549880447874E-2</v>
      </c>
      <c r="AS18" s="70">
        <f t="shared" si="7"/>
        <v>-53413.899999999907</v>
      </c>
      <c r="AT18" s="97">
        <f t="shared" si="8"/>
        <v>0.49824416383048797</v>
      </c>
      <c r="AU18" s="70">
        <f t="shared" si="9"/>
        <v>593432.67000000016</v>
      </c>
      <c r="AV18" s="124">
        <f t="shared" si="10"/>
        <v>1.1392912731650806E-2</v>
      </c>
    </row>
    <row r="19" spans="2:48" x14ac:dyDescent="0.25">
      <c r="B19" s="127"/>
      <c r="C19" s="128"/>
      <c r="D19" s="128"/>
      <c r="E19" s="128"/>
      <c r="F19" s="128"/>
      <c r="G19" s="129"/>
      <c r="H19" s="128"/>
      <c r="I19" s="128"/>
      <c r="J19" s="128"/>
      <c r="K19" s="128"/>
      <c r="L19" s="128"/>
      <c r="M19" s="130"/>
      <c r="N19" s="130"/>
      <c r="P19" s="127"/>
      <c r="Q19" s="128"/>
      <c r="R19" s="128"/>
      <c r="S19" s="128"/>
      <c r="T19" s="128"/>
      <c r="U19" s="129"/>
      <c r="V19" s="128"/>
      <c r="W19" s="128"/>
      <c r="X19" s="128"/>
      <c r="Y19" s="128"/>
      <c r="Z19" s="128"/>
      <c r="AA19" s="130"/>
      <c r="AB19" s="130"/>
      <c r="AD19" s="127"/>
      <c r="AE19" s="127"/>
      <c r="AF19" s="127"/>
      <c r="AG19" s="127"/>
      <c r="AH19" s="128"/>
      <c r="AI19" s="129"/>
      <c r="AJ19" s="130"/>
      <c r="AK19" s="130"/>
      <c r="AL19" s="130"/>
      <c r="AM19" s="128"/>
      <c r="AN19" s="128"/>
      <c r="AO19" s="128"/>
      <c r="AP19" s="128"/>
      <c r="AQ19" s="130"/>
      <c r="AR19" s="130"/>
      <c r="AS19" s="130"/>
      <c r="AT19" s="130"/>
      <c r="AU19" s="261"/>
      <c r="AV19" s="130"/>
    </row>
    <row r="20" spans="2:48" x14ac:dyDescent="0.25">
      <c r="B20" s="131" t="s">
        <v>57</v>
      </c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P20" s="131" t="s">
        <v>57</v>
      </c>
      <c r="Q20" s="131"/>
      <c r="R20" s="131"/>
      <c r="S20" s="131"/>
      <c r="T20" s="131"/>
      <c r="U20" s="131"/>
      <c r="V20" s="131"/>
      <c r="W20" s="131"/>
      <c r="X20" s="131"/>
      <c r="Y20" s="131"/>
      <c r="Z20" s="131"/>
      <c r="AA20" s="131"/>
      <c r="AB20" s="131"/>
      <c r="AD20" s="131" t="s">
        <v>57</v>
      </c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</row>
    <row r="21" spans="2:48" ht="39" customHeight="1" x14ac:dyDescent="0.25">
      <c r="B21" s="65" t="s">
        <v>169</v>
      </c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P21" s="65" t="s">
        <v>170</v>
      </c>
      <c r="Q21" s="65"/>
      <c r="R21" s="65"/>
      <c r="S21" s="65"/>
      <c r="T21" s="65"/>
      <c r="U21" s="65"/>
      <c r="V21" s="65"/>
      <c r="W21" s="65"/>
      <c r="X21" s="262"/>
      <c r="Y21" s="262"/>
      <c r="Z21" s="262"/>
      <c r="AA21" s="262"/>
      <c r="AB21" s="262"/>
      <c r="AD21" s="263" t="s">
        <v>171</v>
      </c>
      <c r="AE21" s="263"/>
      <c r="AF21" s="263"/>
      <c r="AG21" s="263"/>
      <c r="AH21" s="263"/>
      <c r="AI21" s="263"/>
      <c r="AJ21" s="263"/>
      <c r="AK21" s="263"/>
      <c r="AL21" s="263"/>
      <c r="AM21" s="263"/>
      <c r="AN21" s="263"/>
      <c r="AO21" s="263"/>
      <c r="AP21" s="263"/>
      <c r="AQ21" s="263"/>
      <c r="AR21" s="263"/>
      <c r="AS21" s="263"/>
      <c r="AT21" s="263"/>
      <c r="AU21" s="263"/>
      <c r="AV21" s="263"/>
    </row>
    <row r="22" spans="2:48" ht="24" customHeight="1" x14ac:dyDescent="0.25">
      <c r="B22" s="65" t="s">
        <v>172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P22" s="264" t="s">
        <v>173</v>
      </c>
      <c r="Q22" s="264"/>
      <c r="R22" s="264"/>
      <c r="S22" s="264"/>
      <c r="T22" s="264"/>
      <c r="U22" s="264"/>
      <c r="V22" s="264"/>
      <c r="W22" s="264"/>
      <c r="X22" s="265"/>
      <c r="Y22" s="265"/>
      <c r="Z22" s="265"/>
      <c r="AA22" s="265"/>
      <c r="AB22" s="265"/>
      <c r="AQ22" s="70">
        <f>AQ11/M11</f>
        <v>9553.4618860055616</v>
      </c>
    </row>
    <row r="23" spans="2:48" x14ac:dyDescent="0.25"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P23" s="266"/>
      <c r="Q23" s="266"/>
      <c r="R23" s="266"/>
      <c r="S23" s="266"/>
      <c r="T23" s="266"/>
      <c r="U23" s="266"/>
      <c r="V23" s="266"/>
      <c r="W23" s="266"/>
      <c r="X23" s="266"/>
      <c r="Y23" s="266"/>
      <c r="Z23" s="266"/>
      <c r="AA23" s="266"/>
      <c r="AB23" s="266"/>
    </row>
    <row r="27" spans="2:48" ht="50.25" customHeight="1" thickBot="1" x14ac:dyDescent="0.3">
      <c r="B27" s="12" t="s">
        <v>174</v>
      </c>
      <c r="C27" s="12"/>
      <c r="D27" s="12"/>
      <c r="E27" s="12"/>
      <c r="F27" s="12"/>
      <c r="G27" s="12"/>
      <c r="H27" s="12"/>
      <c r="I27" s="173"/>
      <c r="P27" s="12" t="s">
        <v>175</v>
      </c>
      <c r="Q27" s="12"/>
      <c r="R27" s="12"/>
      <c r="S27" s="12"/>
      <c r="T27" s="12"/>
      <c r="U27" s="12"/>
      <c r="V27" s="12"/>
      <c r="W27" s="12"/>
      <c r="AE27" s="12" t="s">
        <v>176</v>
      </c>
      <c r="AF27" s="12"/>
      <c r="AG27" s="12"/>
      <c r="AH27" s="12"/>
      <c r="AI27" s="12"/>
      <c r="AJ27" s="12"/>
      <c r="AK27" s="12"/>
      <c r="AL27" s="173"/>
    </row>
    <row r="28" spans="2:48" ht="6" customHeight="1" thickBot="1" x14ac:dyDescent="0.3">
      <c r="B28" s="107"/>
      <c r="C28" s="107"/>
      <c r="D28" s="107"/>
      <c r="E28" s="107"/>
      <c r="F28" s="107"/>
      <c r="G28" s="107"/>
      <c r="H28" s="107"/>
      <c r="I28" s="108"/>
      <c r="P28" s="107"/>
      <c r="Q28" s="107"/>
      <c r="R28" s="107"/>
      <c r="S28" s="107"/>
      <c r="T28" s="107"/>
      <c r="U28" s="107"/>
      <c r="V28" s="107"/>
      <c r="W28" s="108"/>
      <c r="AE28" s="108"/>
      <c r="AF28" s="108"/>
      <c r="AG28" s="108"/>
      <c r="AH28" s="108"/>
      <c r="AI28" s="108"/>
      <c r="AJ28" s="108"/>
      <c r="AK28" s="108"/>
      <c r="AL28" s="108"/>
    </row>
    <row r="29" spans="2:48" ht="30.75" thickBot="1" x14ac:dyDescent="0.3">
      <c r="B29" s="109"/>
      <c r="C29" s="218">
        <v>2020</v>
      </c>
      <c r="D29" s="218">
        <v>2021</v>
      </c>
      <c r="E29" s="218">
        <v>2022</v>
      </c>
      <c r="F29" s="218">
        <v>2023</v>
      </c>
      <c r="G29" s="218">
        <v>2024</v>
      </c>
      <c r="H29" s="15" t="str">
        <f>CONCATENATE("var. ",RIGHT(G29,2),"/",RIGHT(F29,2))</f>
        <v>var. 24/23</v>
      </c>
      <c r="I29" s="246" t="str">
        <f>CONCATENATE("dif. ",RIGHT(G29,2),"/",RIGHT(F29,2))</f>
        <v>dif. 24/23</v>
      </c>
      <c r="P29" s="109"/>
      <c r="Q29" s="218">
        <v>2020</v>
      </c>
      <c r="R29" s="218">
        <v>2021</v>
      </c>
      <c r="S29" s="218">
        <v>2022</v>
      </c>
      <c r="T29" s="218">
        <v>2023</v>
      </c>
      <c r="U29" s="218">
        <v>2024</v>
      </c>
      <c r="V29" s="15" t="str">
        <f>CONCATENATE("var. ",RIGHT(U29,2),"/",RIGHT(T29,2))</f>
        <v>var. 24/23</v>
      </c>
      <c r="W29" s="246" t="str">
        <f>CONCATENATE("dif. ",RIGHT(U29,2),"/",RIGHT(T29,2))</f>
        <v>dif. 24/23</v>
      </c>
      <c r="AE29" s="109"/>
      <c r="AF29" s="218">
        <v>2020</v>
      </c>
      <c r="AG29" s="218">
        <v>2021</v>
      </c>
      <c r="AH29" s="218">
        <v>2022</v>
      </c>
      <c r="AI29" s="218">
        <v>2023</v>
      </c>
      <c r="AJ29" s="218">
        <v>2024</v>
      </c>
      <c r="AK29" s="15" t="str">
        <f>CONCATENATE("var. ",RIGHT(AJ29,2),"/",RIGHT(AI29,2))</f>
        <v>var. 24/23</v>
      </c>
      <c r="AL29" s="246" t="str">
        <f>CONCATENATE("dif. ",RIGHT(AJ29,2),"/",RIGHT(AI29,2))</f>
        <v>dif. 24/23</v>
      </c>
    </row>
    <row r="30" spans="2:48" ht="15.75" x14ac:dyDescent="0.25">
      <c r="B30" s="248" t="s">
        <v>45</v>
      </c>
      <c r="C30" s="249">
        <v>95.01</v>
      </c>
      <c r="D30" s="249">
        <v>99.07</v>
      </c>
      <c r="E30" s="249">
        <v>105.63</v>
      </c>
      <c r="F30" s="249">
        <v>113.88</v>
      </c>
      <c r="G30" s="249">
        <v>125.25</v>
      </c>
      <c r="H30" s="163">
        <f>G30/F30-1</f>
        <v>9.984193888303472E-2</v>
      </c>
      <c r="I30" s="249">
        <f>G30-F30</f>
        <v>11.370000000000005</v>
      </c>
      <c r="P30" s="248" t="s">
        <v>45</v>
      </c>
      <c r="Q30" s="249">
        <v>48.129999999999995</v>
      </c>
      <c r="R30" s="249">
        <v>53</v>
      </c>
      <c r="S30" s="249">
        <v>80.58</v>
      </c>
      <c r="T30" s="249">
        <v>93.24</v>
      </c>
      <c r="U30" s="249">
        <v>104.71</v>
      </c>
      <c r="V30" s="163">
        <f>U30/T30-1</f>
        <v>0.12301587301587302</v>
      </c>
      <c r="W30" s="249">
        <f>U30-T30</f>
        <v>11.469999999999999</v>
      </c>
      <c r="AE30" s="248" t="s">
        <v>45</v>
      </c>
      <c r="AF30" s="254">
        <v>476771371.48000002</v>
      </c>
      <c r="AG30" s="254">
        <v>651901800.17999995</v>
      </c>
      <c r="AH30" s="254">
        <v>1528879517.8</v>
      </c>
      <c r="AI30" s="254">
        <v>1797799676.5999999</v>
      </c>
      <c r="AJ30" s="254">
        <v>2045218052.5</v>
      </c>
      <c r="AK30" s="163">
        <f>AJ30/AI30-1</f>
        <v>0.13762288375082909</v>
      </c>
      <c r="AL30" s="162">
        <f>AJ30-AI30</f>
        <v>247418375.9000001</v>
      </c>
    </row>
    <row r="31" spans="2:48" ht="15.75" customHeight="1" x14ac:dyDescent="0.25">
      <c r="B31" s="18" t="s">
        <v>46</v>
      </c>
      <c r="C31" s="256">
        <v>119.42</v>
      </c>
      <c r="D31" s="256">
        <v>126.49</v>
      </c>
      <c r="E31" s="256">
        <v>131.02000000000001</v>
      </c>
      <c r="F31" s="256">
        <v>139.02000000000001</v>
      </c>
      <c r="G31" s="256">
        <v>151.54</v>
      </c>
      <c r="H31" s="97">
        <f t="shared" ref="H31:H35" si="12">G31/F31-1</f>
        <v>9.0058984318802882E-2</v>
      </c>
      <c r="I31" s="257">
        <f t="shared" ref="I31:I40" si="13">G31-F31</f>
        <v>12.519999999999982</v>
      </c>
      <c r="P31" s="18" t="s">
        <v>46</v>
      </c>
      <c r="Q31" s="256">
        <v>61.17</v>
      </c>
      <c r="R31" s="257">
        <v>72.88</v>
      </c>
      <c r="S31" s="257">
        <v>107.72</v>
      </c>
      <c r="T31" s="257">
        <v>119.35</v>
      </c>
      <c r="U31" s="257">
        <v>131.18</v>
      </c>
      <c r="V31" s="97">
        <f t="shared" ref="V31:V40" si="14">U31/T31-1</f>
        <v>9.9120234604105573E-2</v>
      </c>
      <c r="W31" s="257">
        <f t="shared" ref="W31:W40" si="15">U31-T31</f>
        <v>11.830000000000013</v>
      </c>
      <c r="AE31" s="18" t="s">
        <v>46</v>
      </c>
      <c r="AF31" s="259">
        <v>217815325.03999999</v>
      </c>
      <c r="AG31" s="260">
        <v>333738906.93000001</v>
      </c>
      <c r="AH31" s="260">
        <v>743382276.49000001</v>
      </c>
      <c r="AI31" s="260">
        <v>857710368.34000003</v>
      </c>
      <c r="AJ31" s="260">
        <v>951532629.67999995</v>
      </c>
      <c r="AK31" s="97">
        <f t="shared" ref="AK31:AK40" si="16">AJ31/AI31-1</f>
        <v>0.10938688023741872</v>
      </c>
      <c r="AL31" s="70">
        <f t="shared" ref="AL31:AL40" si="17">AJ31-AI31</f>
        <v>93822261.339999914</v>
      </c>
    </row>
    <row r="32" spans="2:48" ht="15.75" customHeight="1" x14ac:dyDescent="0.25">
      <c r="B32" s="24" t="s">
        <v>47</v>
      </c>
      <c r="C32" s="256">
        <v>89.5</v>
      </c>
      <c r="D32" s="256">
        <v>85.87</v>
      </c>
      <c r="E32" s="256">
        <v>93.47</v>
      </c>
      <c r="F32" s="256">
        <v>101.28999999999999</v>
      </c>
      <c r="G32" s="256">
        <v>115.79999999999998</v>
      </c>
      <c r="H32" s="97">
        <f t="shared" si="12"/>
        <v>0.14325204857340301</v>
      </c>
      <c r="I32" s="257">
        <f t="shared" si="13"/>
        <v>14.509999999999991</v>
      </c>
      <c r="P32" s="24" t="s">
        <v>47</v>
      </c>
      <c r="Q32" s="256">
        <v>44.55</v>
      </c>
      <c r="R32" s="257">
        <v>43.14</v>
      </c>
      <c r="S32" s="257">
        <v>71.23</v>
      </c>
      <c r="T32" s="257">
        <v>83.79</v>
      </c>
      <c r="U32" s="257">
        <v>97.120000000000019</v>
      </c>
      <c r="V32" s="97">
        <f t="shared" si="14"/>
        <v>0.15908819668218177</v>
      </c>
      <c r="W32" s="257">
        <f t="shared" si="15"/>
        <v>13.330000000000013</v>
      </c>
      <c r="AE32" s="24" t="s">
        <v>47</v>
      </c>
      <c r="AF32" s="259">
        <v>122348722.31</v>
      </c>
      <c r="AG32" s="260">
        <v>137154616.22</v>
      </c>
      <c r="AH32" s="260">
        <v>381071528.48000002</v>
      </c>
      <c r="AI32" s="260">
        <v>437636228.67000002</v>
      </c>
      <c r="AJ32" s="260">
        <v>514385231.94</v>
      </c>
      <c r="AK32" s="97">
        <f t="shared" si="16"/>
        <v>0.17537168598505737</v>
      </c>
      <c r="AL32" s="70">
        <f t="shared" si="17"/>
        <v>76749003.269999981</v>
      </c>
    </row>
    <row r="33" spans="2:39" ht="15.75" customHeight="1" x14ac:dyDescent="0.25">
      <c r="B33" s="24" t="s">
        <v>48</v>
      </c>
      <c r="C33" s="256">
        <v>70.819999999999993</v>
      </c>
      <c r="D33" s="256">
        <v>66.41</v>
      </c>
      <c r="E33" s="256">
        <v>77.45</v>
      </c>
      <c r="F33" s="256">
        <v>80.180000000000007</v>
      </c>
      <c r="G33" s="256">
        <v>89.86</v>
      </c>
      <c r="H33" s="97">
        <f t="shared" si="12"/>
        <v>0.12072836118732844</v>
      </c>
      <c r="I33" s="257">
        <f t="shared" si="13"/>
        <v>9.6799999999999926</v>
      </c>
      <c r="P33" s="24" t="s">
        <v>48</v>
      </c>
      <c r="Q33" s="256">
        <v>38.090000000000003</v>
      </c>
      <c r="R33" s="257">
        <v>36.92</v>
      </c>
      <c r="S33" s="257">
        <v>53.920000000000009</v>
      </c>
      <c r="T33" s="257">
        <v>54.70000000000001</v>
      </c>
      <c r="U33" s="257">
        <v>64.64</v>
      </c>
      <c r="V33" s="97">
        <f t="shared" si="14"/>
        <v>0.18171846435100525</v>
      </c>
      <c r="W33" s="257">
        <f t="shared" si="15"/>
        <v>9.9399999999999906</v>
      </c>
      <c r="AE33" s="24" t="s">
        <v>48</v>
      </c>
      <c r="AF33" s="259">
        <v>2812428.07</v>
      </c>
      <c r="AG33" s="260">
        <v>4381169.17</v>
      </c>
      <c r="AH33" s="260">
        <v>8179727.9699999997</v>
      </c>
      <c r="AI33" s="260">
        <v>8858381.8200000003</v>
      </c>
      <c r="AJ33" s="260">
        <v>10477086.289999999</v>
      </c>
      <c r="AK33" s="97">
        <f t="shared" si="16"/>
        <v>0.18273139529223847</v>
      </c>
      <c r="AL33" s="70">
        <f t="shared" si="17"/>
        <v>1618704.4699999988</v>
      </c>
    </row>
    <row r="34" spans="2:39" ht="15.75" customHeight="1" x14ac:dyDescent="0.25">
      <c r="B34" s="24" t="s">
        <v>49</v>
      </c>
      <c r="C34" s="256">
        <v>134.75</v>
      </c>
      <c r="D34" s="256">
        <v>154.08000000000001</v>
      </c>
      <c r="E34" s="256">
        <v>185.51</v>
      </c>
      <c r="F34" s="256">
        <v>208.15999999999997</v>
      </c>
      <c r="G34" s="256">
        <v>202.39</v>
      </c>
      <c r="H34" s="97">
        <f t="shared" si="12"/>
        <v>-2.7719062259800031E-2</v>
      </c>
      <c r="I34" s="257">
        <f t="shared" si="13"/>
        <v>-5.7699999999999818</v>
      </c>
      <c r="P34" s="24" t="s">
        <v>49</v>
      </c>
      <c r="Q34" s="256">
        <v>52.22</v>
      </c>
      <c r="R34" s="257">
        <v>46.13</v>
      </c>
      <c r="S34" s="257">
        <v>94.79</v>
      </c>
      <c r="T34" s="257">
        <v>114.31</v>
      </c>
      <c r="U34" s="257">
        <v>127.83</v>
      </c>
      <c r="V34" s="97">
        <f t="shared" si="14"/>
        <v>0.11827486659084951</v>
      </c>
      <c r="W34" s="257">
        <f t="shared" si="15"/>
        <v>13.519999999999996</v>
      </c>
      <c r="AE34" s="24" t="s">
        <v>49</v>
      </c>
      <c r="AF34" s="259">
        <v>19577887.920000002</v>
      </c>
      <c r="AG34" s="260">
        <v>22694182.550000001</v>
      </c>
      <c r="AH34" s="260">
        <v>56687870.049999997</v>
      </c>
      <c r="AI34" s="260">
        <v>62672686.409999996</v>
      </c>
      <c r="AJ34" s="260">
        <v>65406733.899999999</v>
      </c>
      <c r="AK34" s="97">
        <f t="shared" si="16"/>
        <v>4.3624226861986859E-2</v>
      </c>
      <c r="AL34" s="70">
        <f t="shared" si="17"/>
        <v>2734047.4900000021</v>
      </c>
    </row>
    <row r="35" spans="2:39" ht="15.75" customHeight="1" x14ac:dyDescent="0.25">
      <c r="B35" s="24" t="s">
        <v>50</v>
      </c>
      <c r="C35" s="256">
        <v>53.52</v>
      </c>
      <c r="D35" s="256">
        <v>51.25</v>
      </c>
      <c r="E35" s="256">
        <v>59.12</v>
      </c>
      <c r="F35" s="256">
        <v>65.87</v>
      </c>
      <c r="G35" s="256">
        <v>74.569999999999993</v>
      </c>
      <c r="H35" s="97">
        <f t="shared" si="12"/>
        <v>0.13207833611659314</v>
      </c>
      <c r="I35" s="257">
        <f t="shared" si="13"/>
        <v>8.6999999999999886</v>
      </c>
      <c r="P35" s="24" t="s">
        <v>50</v>
      </c>
      <c r="Q35" s="256">
        <v>28.760000000000005</v>
      </c>
      <c r="R35" s="257">
        <v>28.24</v>
      </c>
      <c r="S35" s="257">
        <v>42.01</v>
      </c>
      <c r="T35" s="257">
        <v>51.99</v>
      </c>
      <c r="U35" s="257">
        <v>61.31</v>
      </c>
      <c r="V35" s="97">
        <f t="shared" si="14"/>
        <v>0.17926524331602223</v>
      </c>
      <c r="W35" s="257">
        <f t="shared" si="15"/>
        <v>9.32</v>
      </c>
      <c r="AE35" s="24" t="s">
        <v>50</v>
      </c>
      <c r="AF35" s="259">
        <v>46497100.399999999</v>
      </c>
      <c r="AG35" s="260">
        <v>54944687.289999999</v>
      </c>
      <c r="AH35" s="260">
        <v>136922674.63999999</v>
      </c>
      <c r="AI35" s="260">
        <v>177625996.66999999</v>
      </c>
      <c r="AJ35" s="260">
        <v>217541794.87</v>
      </c>
      <c r="AK35" s="97">
        <f t="shared" si="16"/>
        <v>0.22471822226651339</v>
      </c>
      <c r="AL35" s="70">
        <f t="shared" si="17"/>
        <v>39915798.200000018</v>
      </c>
    </row>
    <row r="36" spans="2:39" x14ac:dyDescent="0.25">
      <c r="B36" s="24" t="s">
        <v>51</v>
      </c>
      <c r="C36" s="256">
        <v>86.79</v>
      </c>
      <c r="D36" s="256">
        <v>84.44</v>
      </c>
      <c r="E36" s="256">
        <v>89.45</v>
      </c>
      <c r="F36" s="256">
        <v>98.5</v>
      </c>
      <c r="G36" s="256">
        <v>108.5</v>
      </c>
      <c r="H36" s="97">
        <f>G36/F36-1</f>
        <v>0.10152284263959399</v>
      </c>
      <c r="I36" s="257">
        <f t="shared" si="13"/>
        <v>10</v>
      </c>
      <c r="P36" s="24" t="s">
        <v>51</v>
      </c>
      <c r="Q36" s="256">
        <v>49.1</v>
      </c>
      <c r="R36" s="257">
        <v>45.63</v>
      </c>
      <c r="S36" s="257">
        <v>64.64</v>
      </c>
      <c r="T36" s="257">
        <v>73.62</v>
      </c>
      <c r="U36" s="257">
        <v>81.849999999999994</v>
      </c>
      <c r="V36" s="97">
        <f t="shared" si="14"/>
        <v>0.11179027438196121</v>
      </c>
      <c r="W36" s="257">
        <f t="shared" si="15"/>
        <v>8.2299999999999898</v>
      </c>
      <c r="AE36" s="24" t="s">
        <v>51</v>
      </c>
      <c r="AF36" s="259">
        <v>3114952.08</v>
      </c>
      <c r="AG36" s="260">
        <v>4498900.47</v>
      </c>
      <c r="AH36" s="260">
        <v>7864755.4299999997</v>
      </c>
      <c r="AI36" s="260">
        <v>9097368.0999999996</v>
      </c>
      <c r="AJ36" s="260">
        <v>10277452.130000001</v>
      </c>
      <c r="AK36" s="97">
        <f t="shared" si="16"/>
        <v>0.12971708048177155</v>
      </c>
      <c r="AL36" s="70">
        <f t="shared" si="17"/>
        <v>1180084.0300000012</v>
      </c>
    </row>
    <row r="37" spans="2:39" x14ac:dyDescent="0.25">
      <c r="B37" s="24" t="s">
        <v>52</v>
      </c>
      <c r="C37" s="256">
        <v>106.13</v>
      </c>
      <c r="D37" s="256">
        <v>125.31</v>
      </c>
      <c r="E37" s="256">
        <v>128.06</v>
      </c>
      <c r="F37" s="256">
        <v>149.08000000000001</v>
      </c>
      <c r="G37" s="256">
        <v>167.62</v>
      </c>
      <c r="H37" s="97">
        <f t="shared" ref="H37:H40" si="18">G37/F37-1</f>
        <v>0.12436275825060372</v>
      </c>
      <c r="I37" s="257">
        <f t="shared" si="13"/>
        <v>18.539999999999992</v>
      </c>
      <c r="P37" s="24" t="s">
        <v>52</v>
      </c>
      <c r="Q37" s="256">
        <v>64.31</v>
      </c>
      <c r="R37" s="257">
        <v>82.55</v>
      </c>
      <c r="S37" s="257">
        <v>96.70999999999998</v>
      </c>
      <c r="T37" s="257">
        <v>122.12</v>
      </c>
      <c r="U37" s="257">
        <v>143.97</v>
      </c>
      <c r="V37" s="97">
        <f t="shared" si="14"/>
        <v>0.17892237143792977</v>
      </c>
      <c r="W37" s="257">
        <f t="shared" si="15"/>
        <v>21.849999999999994</v>
      </c>
      <c r="AE37" s="24" t="s">
        <v>52</v>
      </c>
      <c r="AF37" s="259">
        <v>18804870.850000001</v>
      </c>
      <c r="AG37" s="260">
        <v>30921945.879999999</v>
      </c>
      <c r="AH37" s="260">
        <v>58482134.030000001</v>
      </c>
      <c r="AI37" s="260">
        <v>79534420.480000004</v>
      </c>
      <c r="AJ37" s="260">
        <v>93956888.709999993</v>
      </c>
      <c r="AK37" s="97">
        <f t="shared" si="16"/>
        <v>0.18133618303821941</v>
      </c>
      <c r="AL37" s="70">
        <f t="shared" si="17"/>
        <v>14422468.229999989</v>
      </c>
    </row>
    <row r="38" spans="2:39" x14ac:dyDescent="0.25">
      <c r="B38" s="24" t="s">
        <v>53</v>
      </c>
      <c r="C38" s="256">
        <v>64.19</v>
      </c>
      <c r="D38" s="256">
        <v>68.989999999999995</v>
      </c>
      <c r="E38" s="256">
        <v>76.34</v>
      </c>
      <c r="F38" s="256">
        <v>86.65</v>
      </c>
      <c r="G38" s="256">
        <v>96.86</v>
      </c>
      <c r="H38" s="97">
        <f t="shared" si="18"/>
        <v>0.1178303519907673</v>
      </c>
      <c r="I38" s="257">
        <f t="shared" si="13"/>
        <v>10.209999999999994</v>
      </c>
      <c r="P38" s="24" t="s">
        <v>53</v>
      </c>
      <c r="Q38" s="256">
        <v>33.54</v>
      </c>
      <c r="R38" s="257">
        <v>37.840000000000003</v>
      </c>
      <c r="S38" s="257">
        <v>53.16</v>
      </c>
      <c r="T38" s="257">
        <v>62.04999999999999</v>
      </c>
      <c r="U38" s="257">
        <v>69.75</v>
      </c>
      <c r="V38" s="97">
        <f t="shared" si="14"/>
        <v>0.12409347300564089</v>
      </c>
      <c r="W38" s="257">
        <f t="shared" si="15"/>
        <v>7.7000000000000099</v>
      </c>
      <c r="AE38" s="24" t="s">
        <v>53</v>
      </c>
      <c r="AF38" s="259">
        <v>10173605.369999999</v>
      </c>
      <c r="AG38" s="260">
        <v>16610861.380000001</v>
      </c>
      <c r="AH38" s="260">
        <v>27747259.210000001</v>
      </c>
      <c r="AI38" s="260">
        <v>33504230.199999999</v>
      </c>
      <c r="AJ38" s="260">
        <v>36546242.25</v>
      </c>
      <c r="AK38" s="97">
        <f t="shared" si="16"/>
        <v>9.0794864763076966E-2</v>
      </c>
      <c r="AL38" s="70">
        <f t="shared" si="17"/>
        <v>3042012.0500000007</v>
      </c>
    </row>
    <row r="39" spans="2:39" x14ac:dyDescent="0.25">
      <c r="B39" s="24" t="s">
        <v>54</v>
      </c>
      <c r="C39" s="256">
        <v>102.24</v>
      </c>
      <c r="D39" s="256">
        <v>98.71</v>
      </c>
      <c r="E39" s="256">
        <v>114.5</v>
      </c>
      <c r="F39" s="256">
        <v>129.04</v>
      </c>
      <c r="G39" s="256">
        <v>138.44999999999999</v>
      </c>
      <c r="H39" s="97">
        <f t="shared" si="18"/>
        <v>7.292312461252326E-2</v>
      </c>
      <c r="I39" s="257">
        <f t="shared" si="13"/>
        <v>9.4099999999999966</v>
      </c>
      <c r="P39" s="24" t="s">
        <v>54</v>
      </c>
      <c r="Q39" s="256">
        <v>50.94</v>
      </c>
      <c r="R39" s="257">
        <v>53.72</v>
      </c>
      <c r="S39" s="257">
        <v>88.72</v>
      </c>
      <c r="T39" s="257">
        <v>108.87</v>
      </c>
      <c r="U39" s="257">
        <v>119.53</v>
      </c>
      <c r="V39" s="97">
        <f t="shared" si="14"/>
        <v>9.791494442913562E-2</v>
      </c>
      <c r="W39" s="257">
        <f t="shared" si="15"/>
        <v>10.659999999999997</v>
      </c>
      <c r="AE39" s="24" t="s">
        <v>54</v>
      </c>
      <c r="AF39" s="259">
        <v>28411183</v>
      </c>
      <c r="AG39" s="260">
        <v>34127770.07</v>
      </c>
      <c r="AH39" s="260">
        <v>88124626.280000001</v>
      </c>
      <c r="AI39" s="260">
        <v>107018992.04000001</v>
      </c>
      <c r="AJ39" s="260">
        <v>118898417.72</v>
      </c>
      <c r="AK39" s="97">
        <f t="shared" si="16"/>
        <v>0.11100296735704518</v>
      </c>
      <c r="AL39" s="70">
        <f t="shared" si="17"/>
        <v>11879425.679999992</v>
      </c>
    </row>
    <row r="40" spans="2:39" x14ac:dyDescent="0.25">
      <c r="B40" s="29" t="s">
        <v>55</v>
      </c>
      <c r="C40" s="256">
        <v>58.1</v>
      </c>
      <c r="D40" s="256">
        <v>74.28</v>
      </c>
      <c r="E40" s="256">
        <v>64.23</v>
      </c>
      <c r="F40" s="256">
        <v>69.86</v>
      </c>
      <c r="G40" s="256">
        <v>72.739999999999995</v>
      </c>
      <c r="H40" s="97">
        <f t="shared" si="18"/>
        <v>4.1225307758373742E-2</v>
      </c>
      <c r="I40" s="257">
        <f t="shared" si="13"/>
        <v>2.8799999999999955</v>
      </c>
      <c r="P40" s="29" t="s">
        <v>55</v>
      </c>
      <c r="Q40" s="256">
        <v>22.7</v>
      </c>
      <c r="R40" s="257">
        <v>29.35</v>
      </c>
      <c r="S40" s="257">
        <v>43.18</v>
      </c>
      <c r="T40" s="257">
        <v>54</v>
      </c>
      <c r="U40" s="257">
        <v>56.57</v>
      </c>
      <c r="V40" s="97">
        <f t="shared" si="14"/>
        <v>4.7592592592592631E-2</v>
      </c>
      <c r="W40" s="257">
        <f t="shared" si="15"/>
        <v>2.5700000000000003</v>
      </c>
      <c r="AE40" s="29" t="s">
        <v>55</v>
      </c>
      <c r="AF40" s="259">
        <v>7215296.4500000002</v>
      </c>
      <c r="AG40" s="260">
        <v>12828760.220000001</v>
      </c>
      <c r="AH40" s="260">
        <v>20416665.23</v>
      </c>
      <c r="AI40" s="260">
        <v>24141003.859999999</v>
      </c>
      <c r="AJ40" s="260">
        <v>26195575.010000002</v>
      </c>
      <c r="AK40" s="97">
        <f t="shared" si="16"/>
        <v>8.5107113271469581E-2</v>
      </c>
      <c r="AL40" s="70">
        <f t="shared" si="17"/>
        <v>2054571.1500000022</v>
      </c>
    </row>
    <row r="41" spans="2:39" x14ac:dyDescent="0.25">
      <c r="B41" s="127"/>
      <c r="C41" s="128"/>
      <c r="D41" s="128"/>
      <c r="E41" s="128"/>
      <c r="F41" s="128"/>
      <c r="G41" s="129"/>
      <c r="H41" s="128"/>
      <c r="I41" s="130"/>
      <c r="P41" s="127"/>
      <c r="Q41" s="128"/>
      <c r="R41" s="128"/>
      <c r="S41" s="128"/>
      <c r="T41" s="128"/>
      <c r="U41" s="129"/>
      <c r="V41" s="128"/>
      <c r="W41" s="130"/>
      <c r="AE41" s="127"/>
      <c r="AF41" s="127"/>
      <c r="AG41" s="127"/>
      <c r="AH41" s="127"/>
      <c r="AI41" s="128"/>
      <c r="AJ41" s="129"/>
      <c r="AK41" s="130"/>
      <c r="AL41" s="130"/>
    </row>
    <row r="42" spans="2:39" x14ac:dyDescent="0.25">
      <c r="B42" s="267" t="s">
        <v>57</v>
      </c>
      <c r="C42" s="267"/>
      <c r="D42" s="267"/>
      <c r="E42" s="267"/>
      <c r="F42" s="267"/>
      <c r="G42" s="267"/>
      <c r="H42" s="267"/>
      <c r="I42" s="131"/>
      <c r="P42" s="131" t="s">
        <v>57</v>
      </c>
      <c r="Q42" s="131"/>
      <c r="R42" s="131"/>
      <c r="S42" s="131"/>
      <c r="T42" s="131"/>
      <c r="U42" s="131"/>
      <c r="V42" s="131"/>
      <c r="W42" s="131"/>
      <c r="AE42" s="131" t="s">
        <v>57</v>
      </c>
      <c r="AF42" s="131"/>
      <c r="AG42" s="131"/>
      <c r="AH42" s="131"/>
      <c r="AI42" s="131"/>
      <c r="AJ42" s="131"/>
      <c r="AK42" s="131"/>
      <c r="AL42" s="131"/>
    </row>
    <row r="43" spans="2:39" ht="39" customHeight="1" x14ac:dyDescent="0.25">
      <c r="B43" s="65" t="s">
        <v>169</v>
      </c>
      <c r="C43" s="65"/>
      <c r="D43" s="65"/>
      <c r="E43" s="65"/>
      <c r="F43" s="65"/>
      <c r="G43" s="65"/>
      <c r="H43" s="65"/>
      <c r="P43" s="65" t="s">
        <v>170</v>
      </c>
      <c r="Q43" s="65"/>
      <c r="R43" s="65"/>
      <c r="S43" s="65"/>
      <c r="T43" s="65"/>
      <c r="U43" s="65"/>
      <c r="V43" s="65"/>
      <c r="W43" s="65"/>
      <c r="AE43" s="263" t="s">
        <v>171</v>
      </c>
      <c r="AF43" s="263"/>
      <c r="AG43" s="263"/>
      <c r="AH43" s="263"/>
      <c r="AI43" s="263"/>
      <c r="AJ43" s="263"/>
      <c r="AK43" s="263"/>
      <c r="AL43" s="263"/>
      <c r="AM43" s="263"/>
    </row>
    <row r="44" spans="2:39" ht="24" customHeight="1" x14ac:dyDescent="0.25">
      <c r="B44" s="65" t="s">
        <v>172</v>
      </c>
      <c r="C44" s="65"/>
      <c r="D44" s="65"/>
      <c r="E44" s="65"/>
      <c r="F44" s="65"/>
      <c r="G44" s="65"/>
      <c r="H44" s="65"/>
      <c r="P44" s="264" t="s">
        <v>173</v>
      </c>
      <c r="Q44" s="264"/>
      <c r="R44" s="264"/>
      <c r="S44" s="264"/>
      <c r="T44" s="264"/>
      <c r="U44" s="264"/>
      <c r="V44" s="264"/>
      <c r="W44" s="264"/>
      <c r="AF44" s="151"/>
      <c r="AG44" s="151"/>
    </row>
  </sheetData>
  <mergeCells count="18">
    <mergeCell ref="B42:H42"/>
    <mergeCell ref="B43:H43"/>
    <mergeCell ref="P43:W43"/>
    <mergeCell ref="AE43:AM43"/>
    <mergeCell ref="B44:H44"/>
    <mergeCell ref="P44:W44"/>
    <mergeCell ref="B22:N22"/>
    <mergeCell ref="P22:W22"/>
    <mergeCell ref="B23:N23"/>
    <mergeCell ref="B27:H27"/>
    <mergeCell ref="P27:W27"/>
    <mergeCell ref="AE27:AK27"/>
    <mergeCell ref="B5:N5"/>
    <mergeCell ref="P5:AB5"/>
    <mergeCell ref="AD5:AT5"/>
    <mergeCell ref="B21:N21"/>
    <mergeCell ref="P21:W21"/>
    <mergeCell ref="AD21:AV21"/>
  </mergeCells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C000D-0B9A-45C8-86AA-E41736F78737}">
  <sheetPr>
    <tabColor theme="2" tint="-9.9978637043366805E-2"/>
  </sheetPr>
  <dimension ref="B1:Q53"/>
  <sheetViews>
    <sheetView showGridLines="0" zoomScaleNormal="100" workbookViewId="0">
      <selection activeCell="G10" sqref="G10"/>
    </sheetView>
  </sheetViews>
  <sheetFormatPr baseColWidth="10" defaultRowHeight="15" x14ac:dyDescent="0.25"/>
  <cols>
    <col min="1" max="1" width="15.5703125" customWidth="1"/>
    <col min="2" max="2" width="24.7109375" customWidth="1"/>
    <col min="3" max="8" width="11.42578125" customWidth="1"/>
    <col min="9" max="9" width="10.7109375" customWidth="1"/>
    <col min="10" max="10" width="9.7109375" customWidth="1"/>
    <col min="11" max="15" width="12.28515625" customWidth="1"/>
    <col min="16" max="17" width="10.7109375" customWidth="1"/>
    <col min="18" max="18" width="14.42578125" customWidth="1"/>
    <col min="19" max="20" width="7.85546875" customWidth="1"/>
    <col min="21" max="21" width="8.140625" customWidth="1"/>
    <col min="22" max="22" width="9" customWidth="1"/>
    <col min="23" max="24" width="9.42578125" customWidth="1"/>
  </cols>
  <sheetData>
    <row r="1" spans="2:17" ht="42.75" customHeight="1" x14ac:dyDescent="0.25"/>
    <row r="3" spans="2:17" ht="30.75" customHeight="1" thickBot="1" x14ac:dyDescent="0.3">
      <c r="B3" s="106" t="str">
        <f>CONCATENATE("Tarifa media diaria (ADR) Tenerife y municipios")</f>
        <v>Tarifa media diaria (ADR) Tenerife y municipios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</row>
    <row r="4" spans="2:17" ht="6.95" customHeight="1" thickBot="1" x14ac:dyDescent="0.3">
      <c r="B4" s="107"/>
      <c r="C4" s="107"/>
      <c r="D4" s="107"/>
      <c r="E4" s="107"/>
      <c r="F4" s="107"/>
      <c r="G4" s="107"/>
      <c r="H4" s="107"/>
      <c r="I4" s="108"/>
      <c r="J4" s="107"/>
      <c r="K4" s="107"/>
      <c r="L4" s="107"/>
      <c r="M4" s="107"/>
      <c r="N4" s="107"/>
      <c r="O4" s="108"/>
      <c r="P4" s="108"/>
      <c r="Q4" s="108"/>
    </row>
    <row r="5" spans="2:17" ht="59.25" customHeight="1" x14ac:dyDescent="0.25">
      <c r="B5" s="114"/>
      <c r="C5" s="15">
        <v>2019</v>
      </c>
      <c r="D5" s="15">
        <v>2020</v>
      </c>
      <c r="E5" s="15">
        <v>2021</v>
      </c>
      <c r="F5" s="15">
        <v>2022</v>
      </c>
      <c r="G5" s="15">
        <v>2023</v>
      </c>
      <c r="H5" s="15">
        <v>2024</v>
      </c>
      <c r="I5" s="115" t="str">
        <f>CONCATENATE("var. ",RIGHT(H5,2),"/",RIGHT(G5,2))</f>
        <v>var. 24/23</v>
      </c>
      <c r="J5" s="115" t="str">
        <f>CONCATENATE("dif. ",RIGHT(H5,2),"/",RIGHT(G5,2))</f>
        <v>dif. 24/23</v>
      </c>
      <c r="K5" s="116" t="s">
        <v>228</v>
      </c>
      <c r="L5" s="116" t="s">
        <v>229</v>
      </c>
      <c r="M5" s="116" t="s">
        <v>230</v>
      </c>
      <c r="N5" s="116" t="s">
        <v>231</v>
      </c>
      <c r="O5" s="116" t="s">
        <v>232</v>
      </c>
      <c r="P5" s="115" t="str">
        <f>CONCATENATE("var. ",RIGHT(O5,2),"/",RIGHT(N5,2))</f>
        <v>var. 25/24</v>
      </c>
      <c r="Q5" s="115" t="str">
        <f>CONCATENATE("dif. ",RIGHT(O5,2),"/",RIGHT(N5,2))</f>
        <v>dif. 25/24</v>
      </c>
    </row>
    <row r="6" spans="2:17" x14ac:dyDescent="0.25">
      <c r="B6" s="117" t="s">
        <v>45</v>
      </c>
      <c r="C6" s="268">
        <v>87.94</v>
      </c>
      <c r="D6" s="268">
        <v>95.01</v>
      </c>
      <c r="E6" s="268">
        <v>99.07</v>
      </c>
      <c r="F6" s="268">
        <v>105.63</v>
      </c>
      <c r="G6" s="268">
        <v>113.88</v>
      </c>
      <c r="H6" s="268">
        <v>125.25</v>
      </c>
      <c r="I6" s="119">
        <f t="shared" ref="I6:I51" si="0">IFERROR(H6/G6-1,"-")</f>
        <v>9.984193888303472E-2</v>
      </c>
      <c r="J6" s="268">
        <f t="shared" ref="J6:J51" si="1">IFERROR(H6-G6,"-")</f>
        <v>11.370000000000005</v>
      </c>
      <c r="K6" s="269">
        <v>90.79</v>
      </c>
      <c r="L6" s="269">
        <v>95.91</v>
      </c>
      <c r="M6" s="269">
        <v>103.2</v>
      </c>
      <c r="N6" s="269">
        <v>114.99</v>
      </c>
      <c r="O6" s="269">
        <v>119.26</v>
      </c>
      <c r="P6" s="119">
        <f t="shared" ref="P6:P51" si="2">IFERROR(O6/N6-1,"-")</f>
        <v>3.7133663796852012E-2</v>
      </c>
      <c r="Q6" s="268">
        <f t="shared" ref="Q6:Q51" si="3">IFERROR(O6-N6,"-")</f>
        <v>4.2700000000000102</v>
      </c>
    </row>
    <row r="7" spans="2:17" x14ac:dyDescent="0.25">
      <c r="B7" s="120" t="s">
        <v>62</v>
      </c>
      <c r="C7" s="270">
        <v>95.42</v>
      </c>
      <c r="D7" s="270">
        <v>103.69</v>
      </c>
      <c r="E7" s="270">
        <v>107.45</v>
      </c>
      <c r="F7" s="270">
        <v>114.17</v>
      </c>
      <c r="G7" s="270">
        <v>123.5</v>
      </c>
      <c r="H7" s="270">
        <v>135.84</v>
      </c>
      <c r="I7" s="122">
        <f t="shared" si="0"/>
        <v>9.991902834008104E-2</v>
      </c>
      <c r="J7" s="270">
        <f t="shared" si="1"/>
        <v>12.340000000000003</v>
      </c>
      <c r="K7" s="271">
        <v>98.08</v>
      </c>
      <c r="L7" s="271">
        <v>103.47</v>
      </c>
      <c r="M7" s="271">
        <v>112.32</v>
      </c>
      <c r="N7" s="271">
        <v>124.74</v>
      </c>
      <c r="O7" s="271">
        <v>128.68</v>
      </c>
      <c r="P7" s="122">
        <f t="shared" si="2"/>
        <v>3.1585698252365013E-2</v>
      </c>
      <c r="Q7" s="270">
        <f t="shared" si="3"/>
        <v>3.9400000000000119</v>
      </c>
    </row>
    <row r="8" spans="2:17" x14ac:dyDescent="0.25">
      <c r="B8" s="123" t="s">
        <v>63</v>
      </c>
      <c r="C8" s="272">
        <v>104.04</v>
      </c>
      <c r="D8" s="272">
        <v>113.97</v>
      </c>
      <c r="E8" s="272">
        <v>117.1</v>
      </c>
      <c r="F8" s="272">
        <v>123.96</v>
      </c>
      <c r="G8" s="272">
        <v>133.38999999999999</v>
      </c>
      <c r="H8" s="272">
        <v>146.27000000000001</v>
      </c>
      <c r="I8" s="124">
        <f t="shared" si="0"/>
        <v>9.6558962440962848E-2</v>
      </c>
      <c r="J8" s="272">
        <f t="shared" si="1"/>
        <v>12.880000000000024</v>
      </c>
      <c r="K8" s="273">
        <v>105.31</v>
      </c>
      <c r="L8" s="273">
        <v>111.27</v>
      </c>
      <c r="M8" s="273">
        <v>120.9</v>
      </c>
      <c r="N8" s="273">
        <v>134.07</v>
      </c>
      <c r="O8" s="273">
        <v>138.1</v>
      </c>
      <c r="P8" s="124">
        <f t="shared" si="2"/>
        <v>3.0058924442455393E-2</v>
      </c>
      <c r="Q8" s="272">
        <f t="shared" si="3"/>
        <v>4.0300000000000011</v>
      </c>
    </row>
    <row r="9" spans="2:17" x14ac:dyDescent="0.25">
      <c r="B9" s="123" t="s">
        <v>64</v>
      </c>
      <c r="C9" s="272">
        <v>59.74</v>
      </c>
      <c r="D9" s="272">
        <v>59.3</v>
      </c>
      <c r="E9" s="272">
        <v>59.54</v>
      </c>
      <c r="F9" s="272">
        <v>65.25</v>
      </c>
      <c r="G9" s="272">
        <v>72.41</v>
      </c>
      <c r="H9" s="272">
        <v>79.900000000000006</v>
      </c>
      <c r="I9" s="124">
        <f t="shared" si="0"/>
        <v>0.10343875155365301</v>
      </c>
      <c r="J9" s="272">
        <f t="shared" si="1"/>
        <v>7.4900000000000091</v>
      </c>
      <c r="K9" s="273">
        <v>56.09</v>
      </c>
      <c r="L9" s="273">
        <v>63.67</v>
      </c>
      <c r="M9" s="273">
        <v>65.13</v>
      </c>
      <c r="N9" s="273">
        <v>73.69</v>
      </c>
      <c r="O9" s="273">
        <v>77.900000000000006</v>
      </c>
      <c r="P9" s="124">
        <f t="shared" si="2"/>
        <v>5.71312254037184E-2</v>
      </c>
      <c r="Q9" s="272">
        <f t="shared" si="3"/>
        <v>4.210000000000008</v>
      </c>
    </row>
    <row r="10" spans="2:17" x14ac:dyDescent="0.25">
      <c r="B10" s="120" t="s">
        <v>65</v>
      </c>
      <c r="C10" s="270">
        <v>66.08</v>
      </c>
      <c r="D10" s="270">
        <v>69.31</v>
      </c>
      <c r="E10" s="270">
        <v>67.12</v>
      </c>
      <c r="F10" s="270">
        <v>73.13</v>
      </c>
      <c r="G10" s="270">
        <v>78.930000000000007</v>
      </c>
      <c r="H10" s="270">
        <v>86.89</v>
      </c>
      <c r="I10" s="122">
        <f t="shared" si="0"/>
        <v>0.10084885341441785</v>
      </c>
      <c r="J10" s="270">
        <f t="shared" si="1"/>
        <v>7.9599999999999937</v>
      </c>
      <c r="K10" s="271">
        <v>58.82</v>
      </c>
      <c r="L10" s="271">
        <v>65.930000000000007</v>
      </c>
      <c r="M10" s="271">
        <v>68.180000000000007</v>
      </c>
      <c r="N10" s="271">
        <v>79.27</v>
      </c>
      <c r="O10" s="271">
        <v>86.6</v>
      </c>
      <c r="P10" s="122">
        <f t="shared" si="2"/>
        <v>9.2468777595559493E-2</v>
      </c>
      <c r="Q10" s="270">
        <f t="shared" si="3"/>
        <v>7.3299999999999983</v>
      </c>
    </row>
    <row r="11" spans="2:17" x14ac:dyDescent="0.25">
      <c r="B11" s="117" t="s">
        <v>46</v>
      </c>
      <c r="C11" s="274">
        <v>107.11</v>
      </c>
      <c r="D11" s="274">
        <v>119.42</v>
      </c>
      <c r="E11" s="274">
        <v>126.49</v>
      </c>
      <c r="F11" s="274">
        <v>131.02000000000001</v>
      </c>
      <c r="G11" s="274">
        <v>139.02000000000001</v>
      </c>
      <c r="H11" s="274">
        <v>151.54</v>
      </c>
      <c r="I11" s="126">
        <f t="shared" si="0"/>
        <v>9.0058984318802882E-2</v>
      </c>
      <c r="J11" s="274">
        <f t="shared" si="1"/>
        <v>12.519999999999982</v>
      </c>
      <c r="K11" s="275">
        <v>110.59</v>
      </c>
      <c r="L11" s="275">
        <v>113.51</v>
      </c>
      <c r="M11" s="275">
        <v>121.09</v>
      </c>
      <c r="N11" s="275">
        <v>133.80000000000001</v>
      </c>
      <c r="O11" s="275">
        <v>137.31</v>
      </c>
      <c r="P11" s="126">
        <f t="shared" si="2"/>
        <v>2.6233183856502196E-2</v>
      </c>
      <c r="Q11" s="274">
        <f t="shared" si="3"/>
        <v>3.5099999999999909</v>
      </c>
    </row>
    <row r="12" spans="2:17" x14ac:dyDescent="0.25">
      <c r="B12" s="120" t="s">
        <v>62</v>
      </c>
      <c r="C12" s="270">
        <v>115.8</v>
      </c>
      <c r="D12" s="270">
        <v>130.44999999999999</v>
      </c>
      <c r="E12" s="270">
        <v>134.97</v>
      </c>
      <c r="F12" s="270">
        <v>140.36000000000001</v>
      </c>
      <c r="G12" s="270">
        <v>150.84</v>
      </c>
      <c r="H12" s="270">
        <v>166.04</v>
      </c>
      <c r="I12" s="122">
        <f t="shared" si="0"/>
        <v>0.10076902678334654</v>
      </c>
      <c r="J12" s="270">
        <f t="shared" si="1"/>
        <v>15.199999999999989</v>
      </c>
      <c r="K12" s="271">
        <v>118.03</v>
      </c>
      <c r="L12" s="271">
        <v>121.77</v>
      </c>
      <c r="M12" s="271">
        <v>131.77000000000001</v>
      </c>
      <c r="N12" s="271">
        <v>147.31</v>
      </c>
      <c r="O12" s="271">
        <v>150.88</v>
      </c>
      <c r="P12" s="122">
        <f t="shared" si="2"/>
        <v>2.4234607290747334E-2</v>
      </c>
      <c r="Q12" s="270">
        <f t="shared" si="3"/>
        <v>3.5699999999999932</v>
      </c>
    </row>
    <row r="13" spans="2:17" x14ac:dyDescent="0.25">
      <c r="B13" s="123" t="s">
        <v>63</v>
      </c>
      <c r="C13" s="272">
        <v>125.04</v>
      </c>
      <c r="D13" s="272">
        <v>138.85</v>
      </c>
      <c r="E13" s="272">
        <v>143.38999999999999</v>
      </c>
      <c r="F13" s="272">
        <v>150.34</v>
      </c>
      <c r="G13" s="272">
        <v>161.43</v>
      </c>
      <c r="H13" s="272">
        <v>176.82</v>
      </c>
      <c r="I13" s="124">
        <f t="shared" si="0"/>
        <v>9.5335439509384834E-2</v>
      </c>
      <c r="J13" s="272">
        <f t="shared" si="1"/>
        <v>15.389999999999986</v>
      </c>
      <c r="K13" s="273">
        <v>124.42</v>
      </c>
      <c r="L13" s="273">
        <v>130.32</v>
      </c>
      <c r="M13" s="273">
        <v>140.06</v>
      </c>
      <c r="N13" s="273">
        <v>156.71</v>
      </c>
      <c r="O13" s="273">
        <v>160.72</v>
      </c>
      <c r="P13" s="124">
        <f t="shared" si="2"/>
        <v>2.5588666964456497E-2</v>
      </c>
      <c r="Q13" s="272">
        <f t="shared" si="3"/>
        <v>4.0099999999999909</v>
      </c>
    </row>
    <row r="14" spans="2:17" x14ac:dyDescent="0.25">
      <c r="B14" s="123" t="s">
        <v>64</v>
      </c>
      <c r="C14" s="272">
        <v>63.73</v>
      </c>
      <c r="D14" s="272">
        <v>65.55</v>
      </c>
      <c r="E14" s="272">
        <v>60.97</v>
      </c>
      <c r="F14" s="272">
        <v>62.16</v>
      </c>
      <c r="G14" s="272">
        <v>63.03</v>
      </c>
      <c r="H14" s="272">
        <v>64.42</v>
      </c>
      <c r="I14" s="124">
        <f t="shared" si="0"/>
        <v>2.2052990639378045E-2</v>
      </c>
      <c r="J14" s="272">
        <f t="shared" si="1"/>
        <v>1.3900000000000006</v>
      </c>
      <c r="K14" s="273">
        <v>59.05</v>
      </c>
      <c r="L14" s="273">
        <v>57.41</v>
      </c>
      <c r="M14" s="273">
        <v>60.07</v>
      </c>
      <c r="N14" s="273">
        <v>55.91</v>
      </c>
      <c r="O14" s="273">
        <v>66.290000000000006</v>
      </c>
      <c r="P14" s="124">
        <f t="shared" si="2"/>
        <v>0.18565551779645872</v>
      </c>
      <c r="Q14" s="272">
        <f t="shared" si="3"/>
        <v>10.38000000000001</v>
      </c>
    </row>
    <row r="15" spans="2:17" x14ac:dyDescent="0.25">
      <c r="B15" s="120" t="s">
        <v>65</v>
      </c>
      <c r="C15" s="270">
        <v>72.42</v>
      </c>
      <c r="D15" s="270">
        <v>76.66</v>
      </c>
      <c r="E15" s="270">
        <v>74.13</v>
      </c>
      <c r="F15" s="270">
        <v>78.930000000000007</v>
      </c>
      <c r="G15" s="270">
        <v>83.06</v>
      </c>
      <c r="H15" s="270">
        <v>86.47</v>
      </c>
      <c r="I15" s="122">
        <f t="shared" si="0"/>
        <v>4.1054659282446337E-2</v>
      </c>
      <c r="J15" s="270">
        <f t="shared" si="1"/>
        <v>3.4099999999999966</v>
      </c>
      <c r="K15" s="271">
        <v>59.09</v>
      </c>
      <c r="L15" s="271">
        <v>67.63</v>
      </c>
      <c r="M15" s="271">
        <v>68.14</v>
      </c>
      <c r="N15" s="271">
        <v>74.540000000000006</v>
      </c>
      <c r="O15" s="271">
        <v>83.73</v>
      </c>
      <c r="P15" s="122">
        <f t="shared" si="2"/>
        <v>0.12328950898846247</v>
      </c>
      <c r="Q15" s="270">
        <f t="shared" si="3"/>
        <v>9.1899999999999977</v>
      </c>
    </row>
    <row r="16" spans="2:17" x14ac:dyDescent="0.25">
      <c r="B16" s="117" t="s">
        <v>54</v>
      </c>
      <c r="C16" s="274">
        <v>92.8</v>
      </c>
      <c r="D16" s="274">
        <v>102.24</v>
      </c>
      <c r="E16" s="274">
        <v>98.71</v>
      </c>
      <c r="F16" s="274">
        <v>114.5</v>
      </c>
      <c r="G16" s="274">
        <v>129.04</v>
      </c>
      <c r="H16" s="274">
        <v>138.44999999999999</v>
      </c>
      <c r="I16" s="126">
        <f t="shared" si="0"/>
        <v>7.292312461252326E-2</v>
      </c>
      <c r="J16" s="274">
        <f t="shared" si="1"/>
        <v>9.4099999999999966</v>
      </c>
      <c r="K16" s="275">
        <v>81.89</v>
      </c>
      <c r="L16" s="275">
        <v>100.88</v>
      </c>
      <c r="M16" s="275">
        <v>114.9</v>
      </c>
      <c r="N16" s="275">
        <v>133.37</v>
      </c>
      <c r="O16" s="275">
        <v>112.21</v>
      </c>
      <c r="P16" s="126">
        <f t="shared" si="2"/>
        <v>-0.15865636949838802</v>
      </c>
      <c r="Q16" s="274">
        <f t="shared" si="3"/>
        <v>-21.160000000000011</v>
      </c>
    </row>
    <row r="17" spans="2:17" x14ac:dyDescent="0.25">
      <c r="B17" s="120" t="s">
        <v>62</v>
      </c>
      <c r="C17" s="270">
        <v>97.8</v>
      </c>
      <c r="D17" s="270">
        <v>108.14</v>
      </c>
      <c r="E17" s="270">
        <v>104.52</v>
      </c>
      <c r="F17" s="270">
        <v>121.1</v>
      </c>
      <c r="G17" s="270">
        <v>137.22999999999999</v>
      </c>
      <c r="H17" s="270">
        <v>145.38999999999999</v>
      </c>
      <c r="I17" s="122">
        <f t="shared" si="0"/>
        <v>5.9462216716461347E-2</v>
      </c>
      <c r="J17" s="270">
        <f t="shared" si="1"/>
        <v>8.1599999999999966</v>
      </c>
      <c r="K17" s="271">
        <v>85.42</v>
      </c>
      <c r="L17" s="271">
        <v>107.39</v>
      </c>
      <c r="M17" s="271">
        <v>121.78</v>
      </c>
      <c r="N17" s="271">
        <v>142.16</v>
      </c>
      <c r="O17" s="271">
        <v>118.09</v>
      </c>
      <c r="P17" s="122">
        <f t="shared" si="2"/>
        <v>-0.16931626336522221</v>
      </c>
      <c r="Q17" s="270">
        <f t="shared" si="3"/>
        <v>-24.069999999999993</v>
      </c>
    </row>
    <row r="18" spans="2:17" x14ac:dyDescent="0.25">
      <c r="B18" s="123" t="s">
        <v>63</v>
      </c>
      <c r="C18" s="272">
        <v>101.92</v>
      </c>
      <c r="D18" s="272">
        <v>0</v>
      </c>
      <c r="E18" s="272">
        <v>111.35</v>
      </c>
      <c r="F18" s="272">
        <v>128.75</v>
      </c>
      <c r="G18" s="272">
        <v>146.41</v>
      </c>
      <c r="H18" s="272">
        <v>153.15</v>
      </c>
      <c r="I18" s="124">
        <f t="shared" si="0"/>
        <v>4.6035106891605837E-2</v>
      </c>
      <c r="J18" s="272">
        <f t="shared" si="1"/>
        <v>6.7400000000000091</v>
      </c>
      <c r="K18" s="273">
        <v>88.54</v>
      </c>
      <c r="L18" s="273">
        <v>115.08</v>
      </c>
      <c r="M18" s="273">
        <v>137.22</v>
      </c>
      <c r="N18" s="273">
        <v>147.38</v>
      </c>
      <c r="O18" s="273">
        <v>119</v>
      </c>
      <c r="P18" s="124">
        <f t="shared" si="2"/>
        <v>-0.19256344144388648</v>
      </c>
      <c r="Q18" s="272">
        <f t="shared" si="3"/>
        <v>-28.379999999999995</v>
      </c>
    </row>
    <row r="19" spans="2:17" x14ac:dyDescent="0.25">
      <c r="B19" s="123" t="s">
        <v>64</v>
      </c>
      <c r="C19" s="272">
        <v>81.52</v>
      </c>
      <c r="D19" s="272">
        <v>0</v>
      </c>
      <c r="E19" s="272">
        <v>79.67</v>
      </c>
      <c r="F19" s="272">
        <v>92.67</v>
      </c>
      <c r="G19" s="272">
        <v>100.97</v>
      </c>
      <c r="H19" s="272">
        <v>114.46</v>
      </c>
      <c r="I19" s="124">
        <f t="shared" si="0"/>
        <v>0.13360404080419919</v>
      </c>
      <c r="J19" s="272">
        <f t="shared" si="1"/>
        <v>13.489999999999995</v>
      </c>
      <c r="K19" s="273">
        <v>75.22</v>
      </c>
      <c r="L19" s="273">
        <v>78.78</v>
      </c>
      <c r="M19" s="273">
        <v>55.12</v>
      </c>
      <c r="N19" s="273">
        <v>122.15</v>
      </c>
      <c r="O19" s="273">
        <v>114.6</v>
      </c>
      <c r="P19" s="124">
        <f t="shared" si="2"/>
        <v>-6.1809250920998871E-2</v>
      </c>
      <c r="Q19" s="272">
        <f t="shared" si="3"/>
        <v>-7.5500000000000114</v>
      </c>
    </row>
    <row r="20" spans="2:17" x14ac:dyDescent="0.25">
      <c r="B20" s="120" t="s">
        <v>65</v>
      </c>
      <c r="C20" s="270">
        <v>74.09</v>
      </c>
      <c r="D20" s="270">
        <v>76.39</v>
      </c>
      <c r="E20" s="270">
        <v>66.930000000000007</v>
      </c>
      <c r="F20" s="270">
        <v>72.900000000000006</v>
      </c>
      <c r="G20" s="270">
        <v>77.459999999999994</v>
      </c>
      <c r="H20" s="270">
        <v>94.86</v>
      </c>
      <c r="I20" s="122">
        <f t="shared" si="0"/>
        <v>0.22463206816421377</v>
      </c>
      <c r="J20" s="270">
        <f t="shared" si="1"/>
        <v>17.400000000000006</v>
      </c>
      <c r="K20" s="271">
        <v>53.24</v>
      </c>
      <c r="L20" s="271">
        <v>53.68</v>
      </c>
      <c r="M20" s="271">
        <v>69.709999999999994</v>
      </c>
      <c r="N20" s="271">
        <v>75.569999999999993</v>
      </c>
      <c r="O20" s="271">
        <v>78.099999999999994</v>
      </c>
      <c r="P20" s="122">
        <f t="shared" si="2"/>
        <v>3.3478893740902516E-2</v>
      </c>
      <c r="Q20" s="270">
        <f t="shared" si="3"/>
        <v>2.5300000000000011</v>
      </c>
    </row>
    <row r="21" spans="2:17" x14ac:dyDescent="0.25">
      <c r="B21" s="117" t="s">
        <v>48</v>
      </c>
      <c r="C21" s="274">
        <v>67.28</v>
      </c>
      <c r="D21" s="274">
        <v>70.819999999999993</v>
      </c>
      <c r="E21" s="274">
        <v>66.41</v>
      </c>
      <c r="F21" s="274">
        <v>77.45</v>
      </c>
      <c r="G21" s="274">
        <v>80.180000000000007</v>
      </c>
      <c r="H21" s="274">
        <v>89.86</v>
      </c>
      <c r="I21" s="126">
        <f t="shared" si="0"/>
        <v>0.12072836118732844</v>
      </c>
      <c r="J21" s="274">
        <f t="shared" si="1"/>
        <v>9.6799999999999926</v>
      </c>
      <c r="K21" s="275">
        <v>66.47</v>
      </c>
      <c r="L21" s="275">
        <v>78.08</v>
      </c>
      <c r="M21" s="275">
        <v>78.900000000000006</v>
      </c>
      <c r="N21" s="275">
        <v>82.41</v>
      </c>
      <c r="O21" s="275">
        <v>86.32</v>
      </c>
      <c r="P21" s="126">
        <f t="shared" si="2"/>
        <v>4.7445698337580389E-2</v>
      </c>
      <c r="Q21" s="274">
        <f t="shared" si="3"/>
        <v>3.9099999999999966</v>
      </c>
    </row>
    <row r="22" spans="2:17" x14ac:dyDescent="0.25">
      <c r="B22" s="120" t="s">
        <v>62</v>
      </c>
      <c r="C22" s="270">
        <v>65.45</v>
      </c>
      <c r="D22" s="270">
        <v>68.510000000000005</v>
      </c>
      <c r="E22" s="270">
        <v>66.41</v>
      </c>
      <c r="F22" s="270">
        <v>77.510000000000005</v>
      </c>
      <c r="G22" s="270">
        <v>80.34</v>
      </c>
      <c r="H22" s="270">
        <v>89.98</v>
      </c>
      <c r="I22" s="122">
        <f t="shared" si="0"/>
        <v>0.11999004232013943</v>
      </c>
      <c r="J22" s="270">
        <f t="shared" si="1"/>
        <v>9.64</v>
      </c>
      <c r="K22" s="271">
        <v>66.47</v>
      </c>
      <c r="L22" s="271">
        <v>78.08</v>
      </c>
      <c r="M22" s="271">
        <v>79.03</v>
      </c>
      <c r="N22" s="271">
        <v>82.45</v>
      </c>
      <c r="O22" s="271">
        <v>86.28</v>
      </c>
      <c r="P22" s="122">
        <f t="shared" si="2"/>
        <v>4.6452395391146206E-2</v>
      </c>
      <c r="Q22" s="270">
        <f t="shared" si="3"/>
        <v>3.8299999999999983</v>
      </c>
    </row>
    <row r="23" spans="2:17" x14ac:dyDescent="0.25">
      <c r="B23" s="120" t="s">
        <v>65</v>
      </c>
      <c r="C23" s="270">
        <v>81.73</v>
      </c>
      <c r="D23" s="270">
        <v>0</v>
      </c>
      <c r="E23" s="270">
        <v>0</v>
      </c>
      <c r="F23" s="270">
        <v>0</v>
      </c>
      <c r="G23" s="270">
        <v>0</v>
      </c>
      <c r="H23" s="270">
        <v>0</v>
      </c>
      <c r="I23" s="122" t="str">
        <f t="shared" si="0"/>
        <v>-</v>
      </c>
      <c r="J23" s="270">
        <f t="shared" si="1"/>
        <v>0</v>
      </c>
      <c r="K23" s="271">
        <v>0</v>
      </c>
      <c r="L23" s="271">
        <v>0</v>
      </c>
      <c r="M23" s="271">
        <v>0</v>
      </c>
      <c r="N23" s="271">
        <v>0</v>
      </c>
      <c r="O23" s="271">
        <v>0</v>
      </c>
      <c r="P23" s="122" t="str">
        <f t="shared" si="2"/>
        <v>-</v>
      </c>
      <c r="Q23" s="270">
        <f t="shared" si="3"/>
        <v>0</v>
      </c>
    </row>
    <row r="24" spans="2:17" x14ac:dyDescent="0.25">
      <c r="B24" s="117" t="s">
        <v>49</v>
      </c>
      <c r="C24" s="274">
        <v>145.08000000000001</v>
      </c>
      <c r="D24" s="274">
        <v>134.75</v>
      </c>
      <c r="E24" s="274">
        <v>154.08000000000001</v>
      </c>
      <c r="F24" s="274">
        <v>185.51</v>
      </c>
      <c r="G24" s="274">
        <v>208.16</v>
      </c>
      <c r="H24" s="274">
        <v>202.39</v>
      </c>
      <c r="I24" s="126">
        <f t="shared" si="0"/>
        <v>-2.7719062259800253E-2</v>
      </c>
      <c r="J24" s="274">
        <f t="shared" si="1"/>
        <v>-5.7700000000000102</v>
      </c>
      <c r="K24" s="275">
        <v>145.12</v>
      </c>
      <c r="L24" s="275">
        <v>117.11</v>
      </c>
      <c r="M24" s="275">
        <v>206.94</v>
      </c>
      <c r="N24" s="275">
        <v>201.77</v>
      </c>
      <c r="O24" s="275">
        <v>188.6</v>
      </c>
      <c r="P24" s="126">
        <f t="shared" si="2"/>
        <v>-6.5272339792833534E-2</v>
      </c>
      <c r="Q24" s="274">
        <f t="shared" si="3"/>
        <v>-13.170000000000016</v>
      </c>
    </row>
    <row r="25" spans="2:17" x14ac:dyDescent="0.25">
      <c r="B25" s="120" t="s">
        <v>62</v>
      </c>
      <c r="C25" s="270">
        <v>146.07</v>
      </c>
      <c r="D25" s="270">
        <v>134.66999999999999</v>
      </c>
      <c r="E25" s="270">
        <v>151.52000000000001</v>
      </c>
      <c r="F25" s="270">
        <v>180.18</v>
      </c>
      <c r="G25" s="270">
        <v>200.83</v>
      </c>
      <c r="H25" s="270">
        <v>207.41</v>
      </c>
      <c r="I25" s="122">
        <f t="shared" si="0"/>
        <v>3.2764029278494089E-2</v>
      </c>
      <c r="J25" s="270">
        <f t="shared" si="1"/>
        <v>6.5799999999999841</v>
      </c>
      <c r="K25" s="271">
        <v>145.12</v>
      </c>
      <c r="L25" s="271">
        <v>114.05</v>
      </c>
      <c r="M25" s="271">
        <v>205.87</v>
      </c>
      <c r="N25" s="271">
        <v>217.02</v>
      </c>
      <c r="O25" s="271">
        <v>195.52</v>
      </c>
      <c r="P25" s="122">
        <f t="shared" si="2"/>
        <v>-9.9069210211040426E-2</v>
      </c>
      <c r="Q25" s="270">
        <f t="shared" si="3"/>
        <v>-21.5</v>
      </c>
    </row>
    <row r="26" spans="2:17" x14ac:dyDescent="0.25">
      <c r="B26" s="123" t="s">
        <v>63</v>
      </c>
      <c r="C26" s="272">
        <v>159.44</v>
      </c>
      <c r="D26" s="272">
        <v>0</v>
      </c>
      <c r="E26" s="272">
        <v>0</v>
      </c>
      <c r="F26" s="272">
        <v>0</v>
      </c>
      <c r="G26" s="272">
        <v>0</v>
      </c>
      <c r="H26" s="272">
        <v>0</v>
      </c>
      <c r="I26" s="124" t="str">
        <f t="shared" si="0"/>
        <v>-</v>
      </c>
      <c r="J26" s="272">
        <f t="shared" si="1"/>
        <v>0</v>
      </c>
      <c r="K26" s="273">
        <v>145.12</v>
      </c>
      <c r="L26" s="273">
        <v>0</v>
      </c>
      <c r="M26" s="273">
        <v>205.87</v>
      </c>
      <c r="N26" s="273">
        <v>0</v>
      </c>
      <c r="O26" s="273">
        <v>0</v>
      </c>
      <c r="P26" s="124" t="str">
        <f t="shared" si="2"/>
        <v>-</v>
      </c>
      <c r="Q26" s="272">
        <f t="shared" si="3"/>
        <v>0</v>
      </c>
    </row>
    <row r="27" spans="2:17" x14ac:dyDescent="0.25">
      <c r="B27" s="123" t="s">
        <v>64</v>
      </c>
      <c r="C27" s="272">
        <v>38.79</v>
      </c>
      <c r="D27" s="272">
        <v>0</v>
      </c>
      <c r="E27" s="272">
        <v>0</v>
      </c>
      <c r="F27" s="272">
        <v>0</v>
      </c>
      <c r="G27" s="272">
        <v>0</v>
      </c>
      <c r="H27" s="272">
        <v>0</v>
      </c>
      <c r="I27" s="124" t="str">
        <f t="shared" si="0"/>
        <v>-</v>
      </c>
      <c r="J27" s="272">
        <f t="shared" si="1"/>
        <v>0</v>
      </c>
      <c r="K27" s="273">
        <v>0</v>
      </c>
      <c r="L27" s="273">
        <v>0</v>
      </c>
      <c r="M27" s="273">
        <v>0</v>
      </c>
      <c r="N27" s="273">
        <v>0</v>
      </c>
      <c r="O27" s="273">
        <v>0</v>
      </c>
      <c r="P27" s="124" t="str">
        <f t="shared" si="2"/>
        <v>-</v>
      </c>
      <c r="Q27" s="272">
        <f t="shared" si="3"/>
        <v>0</v>
      </c>
    </row>
    <row r="28" spans="2:17" x14ac:dyDescent="0.25">
      <c r="B28" s="117" t="s">
        <v>50</v>
      </c>
      <c r="C28" s="274">
        <v>53.05</v>
      </c>
      <c r="D28" s="274">
        <v>53.52</v>
      </c>
      <c r="E28" s="274">
        <v>51.25</v>
      </c>
      <c r="F28" s="274">
        <v>59.12</v>
      </c>
      <c r="G28" s="274">
        <v>65.87</v>
      </c>
      <c r="H28" s="274">
        <v>74.569999999999993</v>
      </c>
      <c r="I28" s="126">
        <f t="shared" si="0"/>
        <v>0.13207833611659314</v>
      </c>
      <c r="J28" s="274">
        <f t="shared" si="1"/>
        <v>8.6999999999999886</v>
      </c>
      <c r="K28" s="275">
        <v>49.5</v>
      </c>
      <c r="L28" s="275">
        <v>56.54</v>
      </c>
      <c r="M28" s="275">
        <v>63.46</v>
      </c>
      <c r="N28" s="275">
        <v>71.25</v>
      </c>
      <c r="O28" s="275">
        <v>82.21</v>
      </c>
      <c r="P28" s="126">
        <f t="shared" si="2"/>
        <v>0.15382456140350875</v>
      </c>
      <c r="Q28" s="274">
        <f t="shared" si="3"/>
        <v>10.959999999999994</v>
      </c>
    </row>
    <row r="29" spans="2:17" x14ac:dyDescent="0.25">
      <c r="B29" s="120" t="s">
        <v>62</v>
      </c>
      <c r="C29" s="270">
        <v>55.71</v>
      </c>
      <c r="D29" s="270">
        <v>56.97</v>
      </c>
      <c r="E29" s="270">
        <v>54.03</v>
      </c>
      <c r="F29" s="270">
        <v>62.9</v>
      </c>
      <c r="G29" s="270">
        <v>69.91</v>
      </c>
      <c r="H29" s="270">
        <v>78.73</v>
      </c>
      <c r="I29" s="122">
        <f t="shared" si="0"/>
        <v>0.12616220855385496</v>
      </c>
      <c r="J29" s="270">
        <f t="shared" si="1"/>
        <v>8.8200000000000074</v>
      </c>
      <c r="K29" s="271">
        <v>51.18</v>
      </c>
      <c r="L29" s="271">
        <v>60.64</v>
      </c>
      <c r="M29" s="271">
        <v>67.650000000000006</v>
      </c>
      <c r="N29" s="271">
        <v>75.209999999999994</v>
      </c>
      <c r="O29" s="271">
        <v>88.97</v>
      </c>
      <c r="P29" s="122">
        <f t="shared" si="2"/>
        <v>0.18295439436245187</v>
      </c>
      <c r="Q29" s="270">
        <f t="shared" si="3"/>
        <v>13.760000000000005</v>
      </c>
    </row>
    <row r="30" spans="2:17" x14ac:dyDescent="0.25">
      <c r="B30" s="123" t="s">
        <v>63</v>
      </c>
      <c r="C30" s="272">
        <v>59.21</v>
      </c>
      <c r="D30" s="272">
        <v>59.93</v>
      </c>
      <c r="E30" s="272">
        <v>57.07</v>
      </c>
      <c r="F30" s="272">
        <v>65.52</v>
      </c>
      <c r="G30" s="272">
        <v>72.760000000000005</v>
      </c>
      <c r="H30" s="272">
        <v>81.77</v>
      </c>
      <c r="I30" s="124">
        <f t="shared" si="0"/>
        <v>0.1238317757009344</v>
      </c>
      <c r="J30" s="272">
        <f t="shared" si="1"/>
        <v>9.0099999999999909</v>
      </c>
      <c r="K30" s="273">
        <v>53.02</v>
      </c>
      <c r="L30" s="273">
        <v>63.1</v>
      </c>
      <c r="M30" s="273">
        <v>70.849999999999994</v>
      </c>
      <c r="N30" s="273">
        <v>78.16</v>
      </c>
      <c r="O30" s="273">
        <v>93.37</v>
      </c>
      <c r="P30" s="124">
        <f t="shared" si="2"/>
        <v>0.19460081883316294</v>
      </c>
      <c r="Q30" s="272">
        <f t="shared" si="3"/>
        <v>15.210000000000008</v>
      </c>
    </row>
    <row r="31" spans="2:17" x14ac:dyDescent="0.25">
      <c r="B31" s="123" t="s">
        <v>64</v>
      </c>
      <c r="C31" s="272">
        <v>40.03</v>
      </c>
      <c r="D31" s="272">
        <v>42.61</v>
      </c>
      <c r="E31" s="272">
        <v>41.43</v>
      </c>
      <c r="F31" s="272">
        <v>46.25</v>
      </c>
      <c r="G31" s="272">
        <v>50.96</v>
      </c>
      <c r="H31" s="272">
        <v>58.4</v>
      </c>
      <c r="I31" s="124">
        <f t="shared" si="0"/>
        <v>0.14599686028257453</v>
      </c>
      <c r="J31" s="272">
        <f t="shared" si="1"/>
        <v>7.4399999999999977</v>
      </c>
      <c r="K31" s="273">
        <v>41.3</v>
      </c>
      <c r="L31" s="273">
        <v>43.28</v>
      </c>
      <c r="M31" s="273">
        <v>45.4</v>
      </c>
      <c r="N31" s="273">
        <v>55.09</v>
      </c>
      <c r="O31" s="273">
        <v>58.92</v>
      </c>
      <c r="P31" s="124">
        <f t="shared" si="2"/>
        <v>6.9522599382828121E-2</v>
      </c>
      <c r="Q31" s="272">
        <f t="shared" si="3"/>
        <v>3.8299999999999983</v>
      </c>
    </row>
    <row r="32" spans="2:17" x14ac:dyDescent="0.25">
      <c r="B32" s="120" t="s">
        <v>65</v>
      </c>
      <c r="C32" s="270">
        <v>43</v>
      </c>
      <c r="D32" s="270">
        <v>43.27</v>
      </c>
      <c r="E32" s="270">
        <v>41.41</v>
      </c>
      <c r="F32" s="270">
        <v>43.49</v>
      </c>
      <c r="G32" s="270">
        <v>48.39</v>
      </c>
      <c r="H32" s="270">
        <v>55.8</v>
      </c>
      <c r="I32" s="122">
        <f t="shared" si="0"/>
        <v>0.15313081215127089</v>
      </c>
      <c r="J32" s="270">
        <f t="shared" si="1"/>
        <v>7.4099999999999966</v>
      </c>
      <c r="K32" s="271">
        <v>41.02</v>
      </c>
      <c r="L32" s="271">
        <v>37.19</v>
      </c>
      <c r="M32" s="271">
        <v>43.78</v>
      </c>
      <c r="N32" s="271">
        <v>53.41</v>
      </c>
      <c r="O32" s="271">
        <v>52.93</v>
      </c>
      <c r="P32" s="122">
        <f t="shared" si="2"/>
        <v>-8.9870810709604676E-3</v>
      </c>
      <c r="Q32" s="270">
        <f t="shared" si="3"/>
        <v>-0.47999999999999687</v>
      </c>
    </row>
    <row r="33" spans="2:17" x14ac:dyDescent="0.25">
      <c r="B33" s="117" t="s">
        <v>51</v>
      </c>
      <c r="C33" s="274">
        <v>81.38</v>
      </c>
      <c r="D33" s="274">
        <v>86.79</v>
      </c>
      <c r="E33" s="274">
        <v>84.44</v>
      </c>
      <c r="F33" s="274">
        <v>89.45</v>
      </c>
      <c r="G33" s="274">
        <v>98.5</v>
      </c>
      <c r="H33" s="274">
        <v>108.5</v>
      </c>
      <c r="I33" s="126">
        <f t="shared" si="0"/>
        <v>0.10152284263959399</v>
      </c>
      <c r="J33" s="274">
        <f t="shared" si="1"/>
        <v>10</v>
      </c>
      <c r="K33" s="275">
        <v>77.52</v>
      </c>
      <c r="L33" s="275">
        <v>83.08</v>
      </c>
      <c r="M33" s="275">
        <v>86.77</v>
      </c>
      <c r="N33" s="275">
        <v>96.5</v>
      </c>
      <c r="O33" s="275">
        <v>106.48</v>
      </c>
      <c r="P33" s="126">
        <f t="shared" si="2"/>
        <v>0.10341968911917099</v>
      </c>
      <c r="Q33" s="274">
        <f t="shared" si="3"/>
        <v>9.980000000000004</v>
      </c>
    </row>
    <row r="34" spans="2:17" x14ac:dyDescent="0.25">
      <c r="B34" s="120" t="s">
        <v>62</v>
      </c>
      <c r="C34" s="270">
        <v>81.38</v>
      </c>
      <c r="D34" s="270">
        <v>86.79</v>
      </c>
      <c r="E34" s="270">
        <v>84.44</v>
      </c>
      <c r="F34" s="270">
        <v>89.45</v>
      </c>
      <c r="G34" s="270">
        <v>98.5</v>
      </c>
      <c r="H34" s="270">
        <v>108.5</v>
      </c>
      <c r="I34" s="122">
        <f t="shared" si="0"/>
        <v>0.10152284263959399</v>
      </c>
      <c r="J34" s="270">
        <f t="shared" si="1"/>
        <v>10</v>
      </c>
      <c r="K34" s="271">
        <v>77.52</v>
      </c>
      <c r="L34" s="271">
        <v>83.08</v>
      </c>
      <c r="M34" s="271">
        <v>86.77</v>
      </c>
      <c r="N34" s="271">
        <v>96.5</v>
      </c>
      <c r="O34" s="271">
        <v>106.48</v>
      </c>
      <c r="P34" s="122">
        <f t="shared" si="2"/>
        <v>0.10341968911917099</v>
      </c>
      <c r="Q34" s="270">
        <f t="shared" si="3"/>
        <v>9.980000000000004</v>
      </c>
    </row>
    <row r="35" spans="2:17" x14ac:dyDescent="0.25">
      <c r="B35" s="117" t="s">
        <v>52</v>
      </c>
      <c r="C35" s="274">
        <v>85.19</v>
      </c>
      <c r="D35" s="274">
        <v>106.13</v>
      </c>
      <c r="E35" s="274">
        <v>125.31</v>
      </c>
      <c r="F35" s="274">
        <v>128.06</v>
      </c>
      <c r="G35" s="274">
        <v>149.08000000000001</v>
      </c>
      <c r="H35" s="274">
        <v>167.62</v>
      </c>
      <c r="I35" s="126">
        <f t="shared" si="0"/>
        <v>0.12436275825060372</v>
      </c>
      <c r="J35" s="274">
        <f t="shared" si="1"/>
        <v>18.539999999999992</v>
      </c>
      <c r="K35" s="275">
        <v>125.98</v>
      </c>
      <c r="L35" s="275">
        <v>139.87</v>
      </c>
      <c r="M35" s="275">
        <v>139.94</v>
      </c>
      <c r="N35" s="275">
        <v>154.79</v>
      </c>
      <c r="O35" s="275">
        <v>169.74</v>
      </c>
      <c r="P35" s="126">
        <f t="shared" si="2"/>
        <v>9.6582466567607828E-2</v>
      </c>
      <c r="Q35" s="274">
        <f t="shared" si="3"/>
        <v>14.950000000000017</v>
      </c>
    </row>
    <row r="36" spans="2:17" x14ac:dyDescent="0.25">
      <c r="B36" s="120" t="s">
        <v>62</v>
      </c>
      <c r="C36" s="270">
        <v>112.85</v>
      </c>
      <c r="D36" s="270">
        <v>133.72</v>
      </c>
      <c r="E36" s="270">
        <v>131.41999999999999</v>
      </c>
      <c r="F36" s="270">
        <v>137.6</v>
      </c>
      <c r="G36" s="270">
        <v>157.49</v>
      </c>
      <c r="H36" s="270">
        <v>177.79</v>
      </c>
      <c r="I36" s="122">
        <f t="shared" si="0"/>
        <v>0.12889707283002094</v>
      </c>
      <c r="J36" s="270">
        <f t="shared" si="1"/>
        <v>20.299999999999983</v>
      </c>
      <c r="K36" s="271">
        <v>136.22999999999999</v>
      </c>
      <c r="L36" s="271">
        <v>150</v>
      </c>
      <c r="M36" s="271">
        <v>147.80000000000001</v>
      </c>
      <c r="N36" s="271">
        <v>165.58</v>
      </c>
      <c r="O36" s="271">
        <v>181.83</v>
      </c>
      <c r="P36" s="122">
        <f t="shared" si="2"/>
        <v>9.8139871965213121E-2</v>
      </c>
      <c r="Q36" s="270">
        <f t="shared" si="3"/>
        <v>16.25</v>
      </c>
    </row>
    <row r="37" spans="2:17" x14ac:dyDescent="0.25">
      <c r="B37" s="120" t="s">
        <v>65</v>
      </c>
      <c r="C37" s="270">
        <v>55.99</v>
      </c>
      <c r="D37" s="270">
        <v>41.89</v>
      </c>
      <c r="E37" s="270">
        <v>74.180000000000007</v>
      </c>
      <c r="F37" s="270">
        <v>78.69</v>
      </c>
      <c r="G37" s="270">
        <v>104.15</v>
      </c>
      <c r="H37" s="270">
        <v>109.88</v>
      </c>
      <c r="I37" s="122">
        <f t="shared" si="0"/>
        <v>5.5016802688430122E-2</v>
      </c>
      <c r="J37" s="270">
        <f t="shared" si="1"/>
        <v>5.7299999999999898</v>
      </c>
      <c r="K37" s="271">
        <v>44.56</v>
      </c>
      <c r="L37" s="271">
        <v>82.97</v>
      </c>
      <c r="M37" s="271">
        <v>94.46</v>
      </c>
      <c r="N37" s="271">
        <v>89.55</v>
      </c>
      <c r="O37" s="271">
        <v>106.64</v>
      </c>
      <c r="P37" s="122">
        <f t="shared" si="2"/>
        <v>0.19084310441094354</v>
      </c>
      <c r="Q37" s="270">
        <f t="shared" si="3"/>
        <v>17.090000000000003</v>
      </c>
    </row>
    <row r="38" spans="2:17" x14ac:dyDescent="0.25">
      <c r="B38" s="117" t="s">
        <v>53</v>
      </c>
      <c r="C38" s="274">
        <v>63.43</v>
      </c>
      <c r="D38" s="274">
        <v>64.19</v>
      </c>
      <c r="E38" s="274">
        <v>68.989999999999995</v>
      </c>
      <c r="F38" s="274">
        <v>76.34</v>
      </c>
      <c r="G38" s="274">
        <v>86.65</v>
      </c>
      <c r="H38" s="274">
        <v>96.86</v>
      </c>
      <c r="I38" s="126">
        <f t="shared" si="0"/>
        <v>0.1178303519907673</v>
      </c>
      <c r="J38" s="274">
        <f t="shared" si="1"/>
        <v>10.209999999999994</v>
      </c>
      <c r="K38" s="275">
        <v>68.05</v>
      </c>
      <c r="L38" s="275">
        <v>72.56</v>
      </c>
      <c r="M38" s="275">
        <v>82.4</v>
      </c>
      <c r="N38" s="275">
        <v>91.02</v>
      </c>
      <c r="O38" s="275">
        <v>91.49</v>
      </c>
      <c r="P38" s="126">
        <f t="shared" si="2"/>
        <v>5.1637002856514957E-3</v>
      </c>
      <c r="Q38" s="274">
        <f t="shared" si="3"/>
        <v>0.46999999999999886</v>
      </c>
    </row>
    <row r="39" spans="2:17" x14ac:dyDescent="0.25">
      <c r="B39" s="120" t="s">
        <v>62</v>
      </c>
      <c r="C39" s="270">
        <v>63.43</v>
      </c>
      <c r="D39" s="270">
        <v>64.19</v>
      </c>
      <c r="E39" s="270">
        <v>68.989999999999995</v>
      </c>
      <c r="F39" s="270">
        <v>76.34</v>
      </c>
      <c r="G39" s="270">
        <v>86.65</v>
      </c>
      <c r="H39" s="270">
        <v>96.86</v>
      </c>
      <c r="I39" s="122">
        <f t="shared" si="0"/>
        <v>0.1178303519907673</v>
      </c>
      <c r="J39" s="270">
        <f t="shared" si="1"/>
        <v>10.209999999999994</v>
      </c>
      <c r="K39" s="271">
        <v>68.05</v>
      </c>
      <c r="L39" s="271">
        <v>72.56</v>
      </c>
      <c r="M39" s="271">
        <v>82.4</v>
      </c>
      <c r="N39" s="271">
        <v>91.02</v>
      </c>
      <c r="O39" s="271">
        <v>91.49</v>
      </c>
      <c r="P39" s="122">
        <f t="shared" si="2"/>
        <v>5.1637002856514957E-3</v>
      </c>
      <c r="Q39" s="270">
        <f t="shared" si="3"/>
        <v>0.46999999999999886</v>
      </c>
    </row>
    <row r="40" spans="2:17" x14ac:dyDescent="0.25">
      <c r="B40" s="123" t="s">
        <v>63</v>
      </c>
      <c r="C40" s="272">
        <v>80.7</v>
      </c>
      <c r="D40" s="272">
        <v>76.319999999999993</v>
      </c>
      <c r="E40" s="272">
        <v>76.47</v>
      </c>
      <c r="F40" s="272">
        <v>90.03</v>
      </c>
      <c r="G40" s="272">
        <v>101.46</v>
      </c>
      <c r="H40" s="272">
        <v>115.08</v>
      </c>
      <c r="I40" s="124">
        <f t="shared" si="0"/>
        <v>0.13424009461856889</v>
      </c>
      <c r="J40" s="272">
        <f t="shared" si="1"/>
        <v>13.620000000000005</v>
      </c>
      <c r="K40" s="273">
        <v>74.84</v>
      </c>
      <c r="L40" s="273">
        <v>87.93</v>
      </c>
      <c r="M40" s="273">
        <v>94.04</v>
      </c>
      <c r="N40" s="273">
        <v>106.98</v>
      </c>
      <c r="O40" s="273">
        <v>104.22</v>
      </c>
      <c r="P40" s="124">
        <f t="shared" si="2"/>
        <v>-2.5799214806505932E-2</v>
      </c>
      <c r="Q40" s="272">
        <f t="shared" si="3"/>
        <v>-2.7600000000000051</v>
      </c>
    </row>
    <row r="41" spans="2:17" x14ac:dyDescent="0.25">
      <c r="B41" s="123" t="s">
        <v>64</v>
      </c>
      <c r="C41" s="272">
        <v>47.71</v>
      </c>
      <c r="D41" s="272">
        <v>52.19</v>
      </c>
      <c r="E41" s="272">
        <v>57.98</v>
      </c>
      <c r="F41" s="272">
        <v>57.94</v>
      </c>
      <c r="G41" s="272">
        <v>67.42</v>
      </c>
      <c r="H41" s="272">
        <v>70.06</v>
      </c>
      <c r="I41" s="124">
        <f t="shared" si="0"/>
        <v>3.915752002373174E-2</v>
      </c>
      <c r="J41" s="272">
        <f t="shared" si="1"/>
        <v>2.6400000000000006</v>
      </c>
      <c r="K41" s="273">
        <v>57.62</v>
      </c>
      <c r="L41" s="273">
        <v>55.09</v>
      </c>
      <c r="M41" s="273">
        <v>67.44</v>
      </c>
      <c r="N41" s="273">
        <v>63.92</v>
      </c>
      <c r="O41" s="273">
        <v>67.87</v>
      </c>
      <c r="P41" s="124">
        <f t="shared" si="2"/>
        <v>6.1795994993742331E-2</v>
      </c>
      <c r="Q41" s="272">
        <f t="shared" si="3"/>
        <v>3.9500000000000028</v>
      </c>
    </row>
    <row r="42" spans="2:17" x14ac:dyDescent="0.25">
      <c r="B42" s="117" t="s">
        <v>54</v>
      </c>
      <c r="C42" s="274">
        <v>92.8</v>
      </c>
      <c r="D42" s="274">
        <v>102.24</v>
      </c>
      <c r="E42" s="274">
        <v>98.71</v>
      </c>
      <c r="F42" s="274">
        <v>114.5</v>
      </c>
      <c r="G42" s="274">
        <v>129.04</v>
      </c>
      <c r="H42" s="274">
        <v>138.44999999999999</v>
      </c>
      <c r="I42" s="126">
        <f t="shared" si="0"/>
        <v>7.292312461252326E-2</v>
      </c>
      <c r="J42" s="274">
        <f t="shared" si="1"/>
        <v>9.4099999999999966</v>
      </c>
      <c r="K42" s="275">
        <v>81.89</v>
      </c>
      <c r="L42" s="275">
        <v>100.88</v>
      </c>
      <c r="M42" s="275">
        <v>114.9</v>
      </c>
      <c r="N42" s="275">
        <v>133.37</v>
      </c>
      <c r="O42" s="275">
        <v>112.21</v>
      </c>
      <c r="P42" s="126">
        <f t="shared" si="2"/>
        <v>-0.15865636949838802</v>
      </c>
      <c r="Q42" s="274">
        <f t="shared" si="3"/>
        <v>-21.160000000000011</v>
      </c>
    </row>
    <row r="43" spans="2:17" x14ac:dyDescent="0.25">
      <c r="B43" s="120" t="s">
        <v>62</v>
      </c>
      <c r="C43" s="270">
        <v>97.8</v>
      </c>
      <c r="D43" s="270">
        <v>108.14</v>
      </c>
      <c r="E43" s="270">
        <v>104.52</v>
      </c>
      <c r="F43" s="270">
        <v>121.1</v>
      </c>
      <c r="G43" s="270">
        <v>137.22999999999999</v>
      </c>
      <c r="H43" s="270">
        <v>145.38999999999999</v>
      </c>
      <c r="I43" s="122">
        <f t="shared" si="0"/>
        <v>5.9462216716461347E-2</v>
      </c>
      <c r="J43" s="270">
        <f t="shared" si="1"/>
        <v>8.1599999999999966</v>
      </c>
      <c r="K43" s="271">
        <v>85.42</v>
      </c>
      <c r="L43" s="271">
        <v>107.39</v>
      </c>
      <c r="M43" s="271">
        <v>121.78</v>
      </c>
      <c r="N43" s="271">
        <v>142.16</v>
      </c>
      <c r="O43" s="271">
        <v>118.09</v>
      </c>
      <c r="P43" s="122">
        <f t="shared" si="2"/>
        <v>-0.16931626336522221</v>
      </c>
      <c r="Q43" s="270">
        <f t="shared" si="3"/>
        <v>-24.069999999999993</v>
      </c>
    </row>
    <row r="44" spans="2:17" x14ac:dyDescent="0.25">
      <c r="B44" s="123" t="s">
        <v>63</v>
      </c>
      <c r="C44" s="272">
        <v>101.92</v>
      </c>
      <c r="D44" s="272">
        <v>0</v>
      </c>
      <c r="E44" s="272">
        <v>111.35</v>
      </c>
      <c r="F44" s="272">
        <v>128.75</v>
      </c>
      <c r="G44" s="272">
        <v>146.41</v>
      </c>
      <c r="H44" s="272">
        <v>153.15</v>
      </c>
      <c r="I44" s="124">
        <f t="shared" si="0"/>
        <v>4.6035106891605837E-2</v>
      </c>
      <c r="J44" s="272">
        <f t="shared" si="1"/>
        <v>6.7400000000000091</v>
      </c>
      <c r="K44" s="273">
        <v>88.54</v>
      </c>
      <c r="L44" s="273">
        <v>115.08</v>
      </c>
      <c r="M44" s="273">
        <v>137.22</v>
      </c>
      <c r="N44" s="273">
        <v>147.38</v>
      </c>
      <c r="O44" s="273">
        <v>119</v>
      </c>
      <c r="P44" s="124">
        <f t="shared" si="2"/>
        <v>-0.19256344144388648</v>
      </c>
      <c r="Q44" s="272">
        <f t="shared" si="3"/>
        <v>-28.379999999999995</v>
      </c>
    </row>
    <row r="45" spans="2:17" x14ac:dyDescent="0.25">
      <c r="B45" s="123" t="s">
        <v>64</v>
      </c>
      <c r="C45" s="272">
        <v>81.52</v>
      </c>
      <c r="D45" s="272">
        <v>0</v>
      </c>
      <c r="E45" s="272">
        <v>79.67</v>
      </c>
      <c r="F45" s="272">
        <v>92.67</v>
      </c>
      <c r="G45" s="272">
        <v>100.97</v>
      </c>
      <c r="H45" s="272">
        <v>114.46</v>
      </c>
      <c r="I45" s="124">
        <f t="shared" si="0"/>
        <v>0.13360404080419919</v>
      </c>
      <c r="J45" s="272">
        <f t="shared" si="1"/>
        <v>13.489999999999995</v>
      </c>
      <c r="K45" s="273">
        <v>75.22</v>
      </c>
      <c r="L45" s="273">
        <v>78.78</v>
      </c>
      <c r="M45" s="273">
        <v>55.12</v>
      </c>
      <c r="N45" s="273">
        <v>122.15</v>
      </c>
      <c r="O45" s="273">
        <v>114.6</v>
      </c>
      <c r="P45" s="124">
        <f t="shared" si="2"/>
        <v>-6.1809250920998871E-2</v>
      </c>
      <c r="Q45" s="272">
        <f t="shared" si="3"/>
        <v>-7.5500000000000114</v>
      </c>
    </row>
    <row r="46" spans="2:17" x14ac:dyDescent="0.25">
      <c r="B46" s="120" t="s">
        <v>65</v>
      </c>
      <c r="C46" s="270">
        <v>74.09</v>
      </c>
      <c r="D46" s="270">
        <v>76.39</v>
      </c>
      <c r="E46" s="270">
        <v>66.930000000000007</v>
      </c>
      <c r="F46" s="270">
        <v>72.900000000000006</v>
      </c>
      <c r="G46" s="270">
        <v>77.459999999999994</v>
      </c>
      <c r="H46" s="270">
        <v>94.86</v>
      </c>
      <c r="I46" s="122">
        <f t="shared" si="0"/>
        <v>0.22463206816421377</v>
      </c>
      <c r="J46" s="270">
        <f t="shared" si="1"/>
        <v>17.400000000000006</v>
      </c>
      <c r="K46" s="271">
        <v>53.24</v>
      </c>
      <c r="L46" s="271">
        <v>53.68</v>
      </c>
      <c r="M46" s="271">
        <v>69.709999999999994</v>
      </c>
      <c r="N46" s="271">
        <v>75.569999999999993</v>
      </c>
      <c r="O46" s="271">
        <v>78.099999999999994</v>
      </c>
      <c r="P46" s="122">
        <f t="shared" si="2"/>
        <v>3.3478893740902516E-2</v>
      </c>
      <c r="Q46" s="270">
        <f t="shared" si="3"/>
        <v>2.5300000000000011</v>
      </c>
    </row>
    <row r="47" spans="2:17" x14ac:dyDescent="0.25">
      <c r="B47" s="117" t="s">
        <v>55</v>
      </c>
      <c r="C47" s="274">
        <v>55.1</v>
      </c>
      <c r="D47" s="274">
        <v>58.1</v>
      </c>
      <c r="E47" s="274">
        <v>74.28</v>
      </c>
      <c r="F47" s="274">
        <v>64.23</v>
      </c>
      <c r="G47" s="274">
        <v>69.86</v>
      </c>
      <c r="H47" s="274">
        <v>72.739999999999995</v>
      </c>
      <c r="I47" s="126">
        <f t="shared" si="0"/>
        <v>4.1225307758373742E-2</v>
      </c>
      <c r="J47" s="274">
        <f t="shared" si="1"/>
        <v>2.8799999999999955</v>
      </c>
      <c r="K47" s="275">
        <v>62.96</v>
      </c>
      <c r="L47" s="275">
        <v>58.98</v>
      </c>
      <c r="M47" s="275">
        <v>64.19</v>
      </c>
      <c r="N47" s="275">
        <v>63.32</v>
      </c>
      <c r="O47" s="275">
        <v>62.54</v>
      </c>
      <c r="P47" s="126">
        <f t="shared" si="2"/>
        <v>-1.2318382817435247E-2</v>
      </c>
      <c r="Q47" s="274">
        <f t="shared" si="3"/>
        <v>-0.78000000000000114</v>
      </c>
    </row>
    <row r="48" spans="2:17" x14ac:dyDescent="0.25">
      <c r="B48" s="120" t="s">
        <v>62</v>
      </c>
      <c r="C48" s="270">
        <v>55.02</v>
      </c>
      <c r="D48" s="270">
        <v>57.83</v>
      </c>
      <c r="E48" s="270">
        <v>74.63</v>
      </c>
      <c r="F48" s="270">
        <v>64.650000000000006</v>
      </c>
      <c r="G48" s="270">
        <v>69.94</v>
      </c>
      <c r="H48" s="270">
        <v>73.959999999999994</v>
      </c>
      <c r="I48" s="122">
        <f t="shared" si="0"/>
        <v>5.7477838146983151E-2</v>
      </c>
      <c r="J48" s="270">
        <f t="shared" si="1"/>
        <v>4.019999999999996</v>
      </c>
      <c r="K48" s="271">
        <v>63.21</v>
      </c>
      <c r="L48" s="271">
        <v>59.78</v>
      </c>
      <c r="M48" s="271">
        <v>64.73</v>
      </c>
      <c r="N48" s="271">
        <v>64.13</v>
      </c>
      <c r="O48" s="271">
        <v>63.44</v>
      </c>
      <c r="P48" s="122">
        <f t="shared" si="2"/>
        <v>-1.0759394978948955E-2</v>
      </c>
      <c r="Q48" s="270">
        <f t="shared" si="3"/>
        <v>-0.68999999999999773</v>
      </c>
    </row>
    <row r="49" spans="2:17" x14ac:dyDescent="0.25">
      <c r="B49" s="123" t="s">
        <v>63</v>
      </c>
      <c r="C49" s="272">
        <v>58.12</v>
      </c>
      <c r="D49" s="272">
        <v>59.72</v>
      </c>
      <c r="E49" s="272">
        <v>75.540000000000006</v>
      </c>
      <c r="F49" s="272">
        <v>69.69</v>
      </c>
      <c r="G49" s="272">
        <v>76.47</v>
      </c>
      <c r="H49" s="272">
        <v>79.3</v>
      </c>
      <c r="I49" s="124">
        <f t="shared" si="0"/>
        <v>3.7007976984438251E-2</v>
      </c>
      <c r="J49" s="272">
        <f t="shared" si="1"/>
        <v>2.8299999999999983</v>
      </c>
      <c r="K49" s="273">
        <v>64.72</v>
      </c>
      <c r="L49" s="273">
        <v>59.46</v>
      </c>
      <c r="M49" s="273">
        <v>67.45</v>
      </c>
      <c r="N49" s="273">
        <v>65.84</v>
      </c>
      <c r="O49" s="273">
        <v>63.76</v>
      </c>
      <c r="P49" s="124">
        <f t="shared" si="2"/>
        <v>-3.1591737545565102E-2</v>
      </c>
      <c r="Q49" s="272">
        <f t="shared" si="3"/>
        <v>-2.0800000000000054</v>
      </c>
    </row>
    <row r="50" spans="2:17" x14ac:dyDescent="0.25">
      <c r="B50" s="123" t="s">
        <v>64</v>
      </c>
      <c r="C50" s="272">
        <v>43.08</v>
      </c>
      <c r="D50" s="272">
        <v>52.07</v>
      </c>
      <c r="E50" s="272">
        <v>70.77</v>
      </c>
      <c r="F50" s="272">
        <v>51.36</v>
      </c>
      <c r="G50" s="272">
        <v>51.21</v>
      </c>
      <c r="H50" s="272">
        <v>60.22</v>
      </c>
      <c r="I50" s="124">
        <f t="shared" si="0"/>
        <v>0.17594219878929884</v>
      </c>
      <c r="J50" s="272">
        <f t="shared" si="1"/>
        <v>9.009999999999998</v>
      </c>
      <c r="K50" s="273">
        <v>56.03</v>
      </c>
      <c r="L50" s="273">
        <v>60.85</v>
      </c>
      <c r="M50" s="273">
        <v>55.4</v>
      </c>
      <c r="N50" s="273">
        <v>59.43</v>
      </c>
      <c r="O50" s="273">
        <v>62.55</v>
      </c>
      <c r="P50" s="124">
        <f t="shared" si="2"/>
        <v>5.2498738011105495E-2</v>
      </c>
      <c r="Q50" s="272">
        <f t="shared" si="3"/>
        <v>3.1199999999999974</v>
      </c>
    </row>
    <row r="51" spans="2:17" x14ac:dyDescent="0.25">
      <c r="B51" s="120" t="s">
        <v>65</v>
      </c>
      <c r="C51" s="270">
        <v>56.8</v>
      </c>
      <c r="D51" s="270">
        <v>83.93</v>
      </c>
      <c r="E51" s="270">
        <v>154.72</v>
      </c>
      <c r="F51" s="270">
        <v>191.76</v>
      </c>
      <c r="G51" s="270">
        <v>163.5</v>
      </c>
      <c r="H51" s="270">
        <v>87.87</v>
      </c>
      <c r="I51" s="122">
        <f t="shared" si="0"/>
        <v>-0.46256880733944949</v>
      </c>
      <c r="J51" s="270">
        <f t="shared" si="1"/>
        <v>-75.63</v>
      </c>
      <c r="K51" s="271">
        <v>36</v>
      </c>
      <c r="L51" s="271">
        <v>117.29</v>
      </c>
      <c r="M51" s="271">
        <v>111.79</v>
      </c>
      <c r="N51" s="271">
        <v>97.89</v>
      </c>
      <c r="O51" s="271">
        <v>95.97</v>
      </c>
      <c r="P51" s="122">
        <f t="shared" si="2"/>
        <v>-1.9613852283175026E-2</v>
      </c>
      <c r="Q51" s="270">
        <f t="shared" si="3"/>
        <v>-1.9200000000000017</v>
      </c>
    </row>
    <row r="52" spans="2:17" ht="6.95" customHeight="1" x14ac:dyDescent="0.25">
      <c r="B52" s="127"/>
      <c r="C52" s="128"/>
      <c r="D52" s="128"/>
      <c r="E52" s="128"/>
      <c r="F52" s="128"/>
      <c r="G52" s="129"/>
      <c r="H52" s="128"/>
      <c r="I52" s="130"/>
      <c r="J52" s="128"/>
      <c r="K52" s="128"/>
      <c r="L52" s="128"/>
      <c r="M52" s="128"/>
      <c r="N52" s="128"/>
      <c r="O52" s="130"/>
      <c r="P52" s="130"/>
      <c r="Q52" s="130"/>
    </row>
    <row r="53" spans="2:17" ht="15" customHeight="1" x14ac:dyDescent="0.25">
      <c r="B53" s="131" t="s">
        <v>57</v>
      </c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</row>
  </sheetData>
  <pageMargins left="0.7" right="0.7" top="0.75" bottom="0.75" header="0.3" footer="0.3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E5995-DFAA-4BBA-857C-EE04E86959BF}">
  <sheetPr>
    <tabColor theme="2" tint="-9.9978637043366805E-2"/>
  </sheetPr>
  <dimension ref="B1:Q53"/>
  <sheetViews>
    <sheetView showGridLines="0" zoomScaleNormal="100" workbookViewId="0">
      <selection activeCell="G10" sqref="G10"/>
    </sheetView>
  </sheetViews>
  <sheetFormatPr baseColWidth="10" defaultRowHeight="15" x14ac:dyDescent="0.25"/>
  <cols>
    <col min="1" max="1" width="15.5703125" customWidth="1"/>
    <col min="2" max="2" width="24.7109375" customWidth="1"/>
    <col min="3" max="8" width="11.42578125" customWidth="1"/>
    <col min="9" max="9" width="10.7109375" customWidth="1"/>
    <col min="10" max="10" width="9.7109375" customWidth="1"/>
    <col min="11" max="15" width="12.28515625" customWidth="1"/>
    <col min="16" max="17" width="10.7109375" customWidth="1"/>
    <col min="18" max="18" width="14.42578125" customWidth="1"/>
    <col min="19" max="20" width="7.85546875" customWidth="1"/>
    <col min="21" max="21" width="8.140625" customWidth="1"/>
    <col min="22" max="22" width="9" customWidth="1"/>
    <col min="23" max="24" width="9.42578125" customWidth="1"/>
  </cols>
  <sheetData>
    <row r="1" spans="2:17" ht="42.75" customHeight="1" x14ac:dyDescent="0.25"/>
    <row r="3" spans="2:17" ht="30.75" customHeight="1" thickBot="1" x14ac:dyDescent="0.3">
      <c r="B3" s="106" t="str">
        <f>CONCATENATE("Ingresos medios por habitación (RevPar) Tenerife y municipios")</f>
        <v>Ingresos medios por habitación (RevPar) Tenerife y municipios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</row>
    <row r="4" spans="2:17" ht="6.95" customHeight="1" thickBot="1" x14ac:dyDescent="0.3">
      <c r="B4" s="107"/>
      <c r="C4" s="107"/>
      <c r="D4" s="107"/>
      <c r="E4" s="107"/>
      <c r="F4" s="107"/>
      <c r="G4" s="107"/>
      <c r="H4" s="107"/>
      <c r="I4" s="108"/>
      <c r="J4" s="107"/>
      <c r="K4" s="107"/>
      <c r="L4" s="107"/>
      <c r="M4" s="107"/>
      <c r="N4" s="107"/>
      <c r="O4" s="108"/>
      <c r="P4" s="108"/>
      <c r="Q4" s="108"/>
    </row>
    <row r="5" spans="2:17" ht="59.25" customHeight="1" x14ac:dyDescent="0.25">
      <c r="B5" s="114"/>
      <c r="C5" s="15">
        <v>2019</v>
      </c>
      <c r="D5" s="15">
        <v>2020</v>
      </c>
      <c r="E5" s="15">
        <v>2021</v>
      </c>
      <c r="F5" s="15">
        <v>2022</v>
      </c>
      <c r="G5" s="15">
        <v>2023</v>
      </c>
      <c r="H5" s="15">
        <v>2024</v>
      </c>
      <c r="I5" s="115" t="str">
        <f>CONCATENATE("var. ",RIGHT(H5,2),"/",RIGHT(G5,2))</f>
        <v>var. 24/23</v>
      </c>
      <c r="J5" s="115" t="str">
        <f>CONCATENATE("dif. ",RIGHT(H5,2),"/",RIGHT(G5,2))</f>
        <v>dif. 24/23</v>
      </c>
      <c r="K5" s="116" t="s">
        <v>228</v>
      </c>
      <c r="L5" s="116" t="s">
        <v>229</v>
      </c>
      <c r="M5" s="116" t="s">
        <v>230</v>
      </c>
      <c r="N5" s="116" t="s">
        <v>231</v>
      </c>
      <c r="O5" s="116" t="s">
        <v>232</v>
      </c>
      <c r="P5" s="115" t="str">
        <f>CONCATENATE("var. ",RIGHT(O5,2),"/",RIGHT(N5,2))</f>
        <v>var. 25/24</v>
      </c>
      <c r="Q5" s="115" t="str">
        <f>CONCATENATE("dif. ",RIGHT(O5,2),"/",RIGHT(N5,2))</f>
        <v>dif. 25/24</v>
      </c>
    </row>
    <row r="6" spans="2:17" x14ac:dyDescent="0.25">
      <c r="B6" s="117" t="s">
        <v>45</v>
      </c>
      <c r="C6" s="268">
        <v>70.459999999999994</v>
      </c>
      <c r="D6" s="268">
        <v>48.13</v>
      </c>
      <c r="E6" s="268">
        <v>53</v>
      </c>
      <c r="F6" s="268">
        <v>80.58</v>
      </c>
      <c r="G6" s="268">
        <v>93.24</v>
      </c>
      <c r="H6" s="268">
        <v>104.71</v>
      </c>
      <c r="I6" s="119">
        <f t="shared" ref="I6:I51" si="0">IFERROR(H6/G6-1,"-")</f>
        <v>0.12301587301587302</v>
      </c>
      <c r="J6" s="268">
        <f t="shared" ref="J6:J51" si="1">IFERROR(H6-G6,"-")</f>
        <v>11.469999999999999</v>
      </c>
      <c r="K6" s="269">
        <v>58.86</v>
      </c>
      <c r="L6" s="269">
        <v>76.260000000000005</v>
      </c>
      <c r="M6" s="269">
        <v>84.95</v>
      </c>
      <c r="N6" s="269">
        <v>96.18</v>
      </c>
      <c r="O6" s="269">
        <v>98.98</v>
      </c>
      <c r="P6" s="119">
        <f t="shared" ref="P6:P51" si="2">IFERROR(O6/N6-1,"-")</f>
        <v>2.9112081513828159E-2</v>
      </c>
      <c r="Q6" s="268">
        <f t="shared" ref="Q6:Q51" si="3">IFERROR(O6-N6,"-")</f>
        <v>2.7999999999999972</v>
      </c>
    </row>
    <row r="7" spans="2:17" x14ac:dyDescent="0.25">
      <c r="B7" s="120" t="s">
        <v>62</v>
      </c>
      <c r="C7" s="270">
        <v>77.33</v>
      </c>
      <c r="D7" s="270">
        <v>53.19</v>
      </c>
      <c r="E7" s="270">
        <v>60.01</v>
      </c>
      <c r="F7" s="270">
        <v>88.2</v>
      </c>
      <c r="G7" s="270">
        <v>102.89</v>
      </c>
      <c r="H7" s="270">
        <v>114.62</v>
      </c>
      <c r="I7" s="122">
        <f t="shared" si="0"/>
        <v>0.11400524832345238</v>
      </c>
      <c r="J7" s="270">
        <f t="shared" si="1"/>
        <v>11.730000000000004</v>
      </c>
      <c r="K7" s="271">
        <v>65.069999999999993</v>
      </c>
      <c r="L7" s="271">
        <v>84.48</v>
      </c>
      <c r="M7" s="271">
        <v>94.68</v>
      </c>
      <c r="N7" s="271">
        <v>105.59</v>
      </c>
      <c r="O7" s="271">
        <v>107.6</v>
      </c>
      <c r="P7" s="122">
        <f t="shared" si="2"/>
        <v>1.9035893550525484E-2</v>
      </c>
      <c r="Q7" s="270">
        <f t="shared" si="3"/>
        <v>2.0099999999999909</v>
      </c>
    </row>
    <row r="8" spans="2:17" x14ac:dyDescent="0.25">
      <c r="B8" s="123" t="s">
        <v>63</v>
      </c>
      <c r="C8" s="272">
        <v>85.32</v>
      </c>
      <c r="D8" s="272">
        <v>58.8</v>
      </c>
      <c r="E8" s="272">
        <v>66.349999999999994</v>
      </c>
      <c r="F8" s="272">
        <v>96.91</v>
      </c>
      <c r="G8" s="272">
        <v>111.61</v>
      </c>
      <c r="H8" s="272">
        <v>124.26</v>
      </c>
      <c r="I8" s="124">
        <f t="shared" si="0"/>
        <v>0.11334109846787932</v>
      </c>
      <c r="J8" s="272">
        <f t="shared" si="1"/>
        <v>12.650000000000006</v>
      </c>
      <c r="K8" s="273">
        <v>72.09</v>
      </c>
      <c r="L8" s="273">
        <v>92.56</v>
      </c>
      <c r="M8" s="273">
        <v>102.39</v>
      </c>
      <c r="N8" s="273">
        <v>114.01</v>
      </c>
      <c r="O8" s="273">
        <v>115.99</v>
      </c>
      <c r="P8" s="124">
        <f t="shared" si="2"/>
        <v>1.7366897640557655E-2</v>
      </c>
      <c r="Q8" s="272">
        <f t="shared" si="3"/>
        <v>1.9799999999999898</v>
      </c>
    </row>
    <row r="9" spans="2:17" x14ac:dyDescent="0.25">
      <c r="B9" s="123" t="s">
        <v>64</v>
      </c>
      <c r="C9" s="272">
        <v>46.17</v>
      </c>
      <c r="D9" s="272">
        <v>29.69</v>
      </c>
      <c r="E9" s="272">
        <v>31.06</v>
      </c>
      <c r="F9" s="272">
        <v>47.58</v>
      </c>
      <c r="G9" s="272">
        <v>59.03</v>
      </c>
      <c r="H9" s="272">
        <v>65.099999999999994</v>
      </c>
      <c r="I9" s="124">
        <f t="shared" si="0"/>
        <v>0.10282906996442476</v>
      </c>
      <c r="J9" s="272">
        <f t="shared" si="1"/>
        <v>6.0699999999999932</v>
      </c>
      <c r="K9" s="273">
        <v>31.57</v>
      </c>
      <c r="L9" s="273">
        <v>47.5</v>
      </c>
      <c r="M9" s="273">
        <v>53.52</v>
      </c>
      <c r="N9" s="273">
        <v>60.83</v>
      </c>
      <c r="O9" s="273">
        <v>63.62</v>
      </c>
      <c r="P9" s="124">
        <f t="shared" si="2"/>
        <v>4.5865526878185126E-2</v>
      </c>
      <c r="Q9" s="272">
        <f t="shared" si="3"/>
        <v>2.7899999999999991</v>
      </c>
    </row>
    <row r="10" spans="2:17" x14ac:dyDescent="0.25">
      <c r="B10" s="120" t="s">
        <v>65</v>
      </c>
      <c r="C10" s="270">
        <v>51.25</v>
      </c>
      <c r="D10" s="270">
        <v>33.86</v>
      </c>
      <c r="E10" s="270">
        <v>30.93</v>
      </c>
      <c r="F10" s="270">
        <v>53.23</v>
      </c>
      <c r="G10" s="270">
        <v>60.79</v>
      </c>
      <c r="H10" s="270">
        <v>70.290000000000006</v>
      </c>
      <c r="I10" s="122">
        <f t="shared" si="0"/>
        <v>0.15627570324066475</v>
      </c>
      <c r="J10" s="270">
        <f t="shared" si="1"/>
        <v>9.5000000000000071</v>
      </c>
      <c r="K10" s="271">
        <v>34.659999999999997</v>
      </c>
      <c r="L10" s="271">
        <v>47.5</v>
      </c>
      <c r="M10" s="271">
        <v>51.5</v>
      </c>
      <c r="N10" s="271">
        <v>63.54</v>
      </c>
      <c r="O10" s="271">
        <v>70.08</v>
      </c>
      <c r="P10" s="122">
        <f t="shared" si="2"/>
        <v>0.10292728989612843</v>
      </c>
      <c r="Q10" s="270">
        <f t="shared" si="3"/>
        <v>6.5399999999999991</v>
      </c>
    </row>
    <row r="11" spans="2:17" x14ac:dyDescent="0.25">
      <c r="B11" s="117" t="s">
        <v>46</v>
      </c>
      <c r="C11" s="274">
        <v>89.94</v>
      </c>
      <c r="D11" s="274">
        <v>61.17</v>
      </c>
      <c r="E11" s="274">
        <v>72.88</v>
      </c>
      <c r="F11" s="274">
        <v>107.72</v>
      </c>
      <c r="G11" s="274">
        <v>119.35</v>
      </c>
      <c r="H11" s="274">
        <v>131.18</v>
      </c>
      <c r="I11" s="126">
        <f t="shared" si="0"/>
        <v>9.9120234604105573E-2</v>
      </c>
      <c r="J11" s="274">
        <f t="shared" si="1"/>
        <v>11.830000000000013</v>
      </c>
      <c r="K11" s="275">
        <v>81.239999999999995</v>
      </c>
      <c r="L11" s="275">
        <v>96.8</v>
      </c>
      <c r="M11" s="275">
        <v>104.87</v>
      </c>
      <c r="N11" s="275">
        <v>116.86</v>
      </c>
      <c r="O11" s="275">
        <v>115.89</v>
      </c>
      <c r="P11" s="126">
        <f t="shared" si="2"/>
        <v>-8.3005305493752957E-3</v>
      </c>
      <c r="Q11" s="274">
        <f t="shared" si="3"/>
        <v>-0.96999999999999886</v>
      </c>
    </row>
    <row r="12" spans="2:17" x14ac:dyDescent="0.25">
      <c r="B12" s="120" t="s">
        <v>62</v>
      </c>
      <c r="C12" s="270">
        <v>98.21</v>
      </c>
      <c r="D12" s="270">
        <v>66.36</v>
      </c>
      <c r="E12" s="270">
        <v>79.650000000000006</v>
      </c>
      <c r="F12" s="270">
        <v>116.54</v>
      </c>
      <c r="G12" s="270">
        <v>130.88999999999999</v>
      </c>
      <c r="H12" s="270">
        <v>144.94</v>
      </c>
      <c r="I12" s="122">
        <f t="shared" si="0"/>
        <v>0.10734204293681726</v>
      </c>
      <c r="J12" s="270">
        <f t="shared" si="1"/>
        <v>14.050000000000011</v>
      </c>
      <c r="K12" s="271">
        <v>87.4</v>
      </c>
      <c r="L12" s="271">
        <v>105.73</v>
      </c>
      <c r="M12" s="271">
        <v>115.76</v>
      </c>
      <c r="N12" s="271">
        <v>129.69</v>
      </c>
      <c r="O12" s="271">
        <v>127.44</v>
      </c>
      <c r="P12" s="122">
        <f t="shared" si="2"/>
        <v>-1.7349063150589816E-2</v>
      </c>
      <c r="Q12" s="270">
        <f t="shared" si="3"/>
        <v>-2.25</v>
      </c>
    </row>
    <row r="13" spans="2:17" x14ac:dyDescent="0.25">
      <c r="B13" s="123" t="s">
        <v>63</v>
      </c>
      <c r="C13" s="272">
        <v>106.38</v>
      </c>
      <c r="D13" s="272">
        <v>71.150000000000006</v>
      </c>
      <c r="E13" s="272">
        <v>85.14</v>
      </c>
      <c r="F13" s="272">
        <v>125.38</v>
      </c>
      <c r="G13" s="272">
        <v>140.15</v>
      </c>
      <c r="H13" s="272">
        <v>154.63999999999999</v>
      </c>
      <c r="I13" s="124">
        <f t="shared" si="0"/>
        <v>0.10338922582946819</v>
      </c>
      <c r="J13" s="272">
        <f t="shared" si="1"/>
        <v>14.489999999999981</v>
      </c>
      <c r="K13" s="273">
        <v>93.89</v>
      </c>
      <c r="L13" s="273">
        <v>113.3</v>
      </c>
      <c r="M13" s="273">
        <v>123.16</v>
      </c>
      <c r="N13" s="273">
        <v>138.52000000000001</v>
      </c>
      <c r="O13" s="273">
        <v>135.55000000000001</v>
      </c>
      <c r="P13" s="124">
        <f t="shared" si="2"/>
        <v>-2.1440947155645373E-2</v>
      </c>
      <c r="Q13" s="272">
        <f t="shared" si="3"/>
        <v>-2.9699999999999989</v>
      </c>
    </row>
    <row r="14" spans="2:17" x14ac:dyDescent="0.25">
      <c r="B14" s="123" t="s">
        <v>64</v>
      </c>
      <c r="C14" s="272">
        <v>53.15</v>
      </c>
      <c r="D14" s="272">
        <v>31.55</v>
      </c>
      <c r="E14" s="272">
        <v>34.18</v>
      </c>
      <c r="F14" s="272">
        <v>49.88</v>
      </c>
      <c r="G14" s="272">
        <v>54.45</v>
      </c>
      <c r="H14" s="272">
        <v>55.23</v>
      </c>
      <c r="I14" s="124">
        <f t="shared" si="0"/>
        <v>1.4325068870523205E-2</v>
      </c>
      <c r="J14" s="272">
        <f t="shared" si="1"/>
        <v>0.77999999999999403</v>
      </c>
      <c r="K14" s="273">
        <v>37.28</v>
      </c>
      <c r="L14" s="273">
        <v>49.35</v>
      </c>
      <c r="M14" s="273">
        <v>52.36</v>
      </c>
      <c r="N14" s="273">
        <v>47.38</v>
      </c>
      <c r="O14" s="273">
        <v>56.69</v>
      </c>
      <c r="P14" s="124">
        <f t="shared" si="2"/>
        <v>0.19649641198818046</v>
      </c>
      <c r="Q14" s="272">
        <f t="shared" si="3"/>
        <v>9.3099999999999952</v>
      </c>
    </row>
    <row r="15" spans="2:17" x14ac:dyDescent="0.25">
      <c r="B15" s="120" t="s">
        <v>65</v>
      </c>
      <c r="C15" s="270">
        <v>58.49</v>
      </c>
      <c r="D15" s="270">
        <v>40.36</v>
      </c>
      <c r="E15" s="270">
        <v>37.26</v>
      </c>
      <c r="F15" s="270">
        <v>61.52</v>
      </c>
      <c r="G15" s="270">
        <v>67.89</v>
      </c>
      <c r="H15" s="270">
        <v>72.16</v>
      </c>
      <c r="I15" s="122">
        <f t="shared" si="0"/>
        <v>6.2895860951539095E-2</v>
      </c>
      <c r="J15" s="270">
        <f t="shared" si="1"/>
        <v>4.269999999999996</v>
      </c>
      <c r="K15" s="271">
        <v>41.15</v>
      </c>
      <c r="L15" s="271">
        <v>52.49</v>
      </c>
      <c r="M15" s="271">
        <v>55.14</v>
      </c>
      <c r="N15" s="271">
        <v>62.89</v>
      </c>
      <c r="O15" s="271">
        <v>70.459999999999994</v>
      </c>
      <c r="P15" s="122">
        <f t="shared" si="2"/>
        <v>0.12036889807600559</v>
      </c>
      <c r="Q15" s="270">
        <f t="shared" si="3"/>
        <v>7.5699999999999932</v>
      </c>
    </row>
    <row r="16" spans="2:17" x14ac:dyDescent="0.25">
      <c r="B16" s="117" t="s">
        <v>54</v>
      </c>
      <c r="C16" s="274">
        <v>71.48</v>
      </c>
      <c r="D16" s="274">
        <v>50.94</v>
      </c>
      <c r="E16" s="274">
        <v>53.72</v>
      </c>
      <c r="F16" s="274">
        <v>88.72</v>
      </c>
      <c r="G16" s="274">
        <v>108.87</v>
      </c>
      <c r="H16" s="274">
        <v>119.53</v>
      </c>
      <c r="I16" s="126">
        <f t="shared" si="0"/>
        <v>9.791494442913562E-2</v>
      </c>
      <c r="J16" s="274">
        <f t="shared" si="1"/>
        <v>10.659999999999997</v>
      </c>
      <c r="K16" s="275">
        <v>55.6</v>
      </c>
      <c r="L16" s="275">
        <v>83.34</v>
      </c>
      <c r="M16" s="275">
        <v>97.6</v>
      </c>
      <c r="N16" s="275">
        <v>115.05</v>
      </c>
      <c r="O16" s="275">
        <v>98.24</v>
      </c>
      <c r="P16" s="126">
        <f t="shared" si="2"/>
        <v>-0.14611038678835286</v>
      </c>
      <c r="Q16" s="274">
        <f t="shared" si="3"/>
        <v>-16.810000000000002</v>
      </c>
    </row>
    <row r="17" spans="2:17" x14ac:dyDescent="0.25">
      <c r="B17" s="120" t="s">
        <v>62</v>
      </c>
      <c r="C17" s="270">
        <v>77.83</v>
      </c>
      <c r="D17" s="270">
        <v>56.41</v>
      </c>
      <c r="E17" s="270">
        <v>62.75</v>
      </c>
      <c r="F17" s="270">
        <v>96.52</v>
      </c>
      <c r="G17" s="270">
        <v>119.31</v>
      </c>
      <c r="H17" s="270">
        <v>129.19999999999999</v>
      </c>
      <c r="I17" s="122">
        <f t="shared" si="0"/>
        <v>8.2893303159835563E-2</v>
      </c>
      <c r="J17" s="270">
        <f t="shared" si="1"/>
        <v>9.8899999999999864</v>
      </c>
      <c r="K17" s="271">
        <v>64.45</v>
      </c>
      <c r="L17" s="271">
        <v>92.91</v>
      </c>
      <c r="M17" s="271">
        <v>106.98</v>
      </c>
      <c r="N17" s="271">
        <v>126.86</v>
      </c>
      <c r="O17" s="271">
        <v>105.84</v>
      </c>
      <c r="P17" s="122">
        <f t="shared" si="2"/>
        <v>-0.16569446634084817</v>
      </c>
      <c r="Q17" s="270">
        <f t="shared" si="3"/>
        <v>-21.019999999999996</v>
      </c>
    </row>
    <row r="18" spans="2:17" x14ac:dyDescent="0.25">
      <c r="B18" s="123" t="s">
        <v>63</v>
      </c>
      <c r="C18" s="272">
        <v>81.78</v>
      </c>
      <c r="D18" s="272">
        <v>0</v>
      </c>
      <c r="E18" s="272">
        <v>65.540000000000006</v>
      </c>
      <c r="F18" s="272">
        <v>100.75</v>
      </c>
      <c r="G18" s="272">
        <v>126.98</v>
      </c>
      <c r="H18" s="272">
        <v>135.56</v>
      </c>
      <c r="I18" s="124">
        <f t="shared" si="0"/>
        <v>6.7569696015120417E-2</v>
      </c>
      <c r="J18" s="272">
        <f t="shared" si="1"/>
        <v>8.5799999999999983</v>
      </c>
      <c r="K18" s="273">
        <v>68.739999999999995</v>
      </c>
      <c r="L18" s="273">
        <v>97.78</v>
      </c>
      <c r="M18" s="273">
        <v>121.96</v>
      </c>
      <c r="N18" s="273">
        <v>129.97999999999999</v>
      </c>
      <c r="O18" s="273">
        <v>105.32</v>
      </c>
      <c r="P18" s="124">
        <f t="shared" si="2"/>
        <v>-0.18972149561470997</v>
      </c>
      <c r="Q18" s="272">
        <f t="shared" si="3"/>
        <v>-24.659999999999997</v>
      </c>
    </row>
    <row r="19" spans="2:17" x14ac:dyDescent="0.25">
      <c r="B19" s="123" t="s">
        <v>64</v>
      </c>
      <c r="C19" s="272">
        <v>62.86</v>
      </c>
      <c r="D19" s="272">
        <v>0</v>
      </c>
      <c r="E19" s="272">
        <v>51.57</v>
      </c>
      <c r="F19" s="272">
        <v>79.3</v>
      </c>
      <c r="G19" s="272">
        <v>88.65</v>
      </c>
      <c r="H19" s="272">
        <v>103.35</v>
      </c>
      <c r="I19" s="124">
        <f t="shared" si="0"/>
        <v>0.16582064297800314</v>
      </c>
      <c r="J19" s="272">
        <f t="shared" si="1"/>
        <v>14.699999999999989</v>
      </c>
      <c r="K19" s="273">
        <v>51.94</v>
      </c>
      <c r="L19" s="273">
        <v>73.11</v>
      </c>
      <c r="M19" s="273">
        <v>46.09</v>
      </c>
      <c r="N19" s="273">
        <v>114.22</v>
      </c>
      <c r="O19" s="273">
        <v>107.99</v>
      </c>
      <c r="P19" s="124">
        <f t="shared" si="2"/>
        <v>-5.4543862721064595E-2</v>
      </c>
      <c r="Q19" s="272">
        <f t="shared" si="3"/>
        <v>-6.230000000000004</v>
      </c>
    </row>
    <row r="20" spans="2:17" x14ac:dyDescent="0.25">
      <c r="B20" s="120" t="s">
        <v>65</v>
      </c>
      <c r="C20" s="270">
        <v>50.93</v>
      </c>
      <c r="D20" s="270">
        <v>31.82</v>
      </c>
      <c r="E20" s="270">
        <v>24.11</v>
      </c>
      <c r="F20" s="270">
        <v>48.07</v>
      </c>
      <c r="G20" s="270">
        <v>55.12</v>
      </c>
      <c r="H20" s="270">
        <v>69.489999999999995</v>
      </c>
      <c r="I20" s="122">
        <f t="shared" si="0"/>
        <v>0.26070391872278664</v>
      </c>
      <c r="J20" s="270">
        <f t="shared" si="1"/>
        <v>14.369999999999997</v>
      </c>
      <c r="K20" s="271">
        <v>19.97</v>
      </c>
      <c r="L20" s="271">
        <v>33.44</v>
      </c>
      <c r="M20" s="271">
        <v>48.68</v>
      </c>
      <c r="N20" s="271">
        <v>53.43</v>
      </c>
      <c r="O20" s="271">
        <v>60.27</v>
      </c>
      <c r="P20" s="122">
        <f t="shared" si="2"/>
        <v>0.12801796743402583</v>
      </c>
      <c r="Q20" s="270">
        <f t="shared" si="3"/>
        <v>6.8400000000000034</v>
      </c>
    </row>
    <row r="21" spans="2:17" x14ac:dyDescent="0.25">
      <c r="B21" s="117" t="s">
        <v>48</v>
      </c>
      <c r="C21" s="274">
        <v>47.78</v>
      </c>
      <c r="D21" s="274">
        <v>38.090000000000003</v>
      </c>
      <c r="E21" s="274">
        <v>36.92</v>
      </c>
      <c r="F21" s="274">
        <v>53.92</v>
      </c>
      <c r="G21" s="274">
        <v>54.7</v>
      </c>
      <c r="H21" s="274">
        <v>64.64</v>
      </c>
      <c r="I21" s="126">
        <f t="shared" si="0"/>
        <v>0.18171846435100547</v>
      </c>
      <c r="J21" s="274">
        <f t="shared" si="1"/>
        <v>9.9399999999999977</v>
      </c>
      <c r="K21" s="275">
        <v>41.39</v>
      </c>
      <c r="L21" s="275">
        <v>52.42</v>
      </c>
      <c r="M21" s="275">
        <v>46.32</v>
      </c>
      <c r="N21" s="275">
        <v>56.32</v>
      </c>
      <c r="O21" s="275">
        <v>60.15</v>
      </c>
      <c r="P21" s="126">
        <f t="shared" si="2"/>
        <v>6.8004261363636243E-2</v>
      </c>
      <c r="Q21" s="274">
        <f t="shared" si="3"/>
        <v>3.8299999999999983</v>
      </c>
    </row>
    <row r="22" spans="2:17" x14ac:dyDescent="0.25">
      <c r="B22" s="120" t="s">
        <v>62</v>
      </c>
      <c r="C22" s="270">
        <v>47.3</v>
      </c>
      <c r="D22" s="270">
        <v>35.92</v>
      </c>
      <c r="E22" s="270">
        <v>36.92</v>
      </c>
      <c r="F22" s="270">
        <v>53.99</v>
      </c>
      <c r="G22" s="270">
        <v>54.87</v>
      </c>
      <c r="H22" s="270">
        <v>64.8</v>
      </c>
      <c r="I22" s="122">
        <f t="shared" si="0"/>
        <v>0.18097320940404593</v>
      </c>
      <c r="J22" s="270">
        <f t="shared" si="1"/>
        <v>9.93</v>
      </c>
      <c r="K22" s="271">
        <v>41.39</v>
      </c>
      <c r="L22" s="271">
        <v>52.42</v>
      </c>
      <c r="M22" s="271">
        <v>46.45</v>
      </c>
      <c r="N22" s="271">
        <v>56.58</v>
      </c>
      <c r="O22" s="271">
        <v>60.59</v>
      </c>
      <c r="P22" s="122">
        <f t="shared" si="2"/>
        <v>7.0873100035348191E-2</v>
      </c>
      <c r="Q22" s="270">
        <f t="shared" si="3"/>
        <v>4.0100000000000051</v>
      </c>
    </row>
    <row r="23" spans="2:17" x14ac:dyDescent="0.25">
      <c r="B23" s="120" t="s">
        <v>65</v>
      </c>
      <c r="C23" s="270">
        <v>51.12</v>
      </c>
      <c r="D23" s="270">
        <v>0</v>
      </c>
      <c r="E23" s="270">
        <v>0</v>
      </c>
      <c r="F23" s="270">
        <v>0</v>
      </c>
      <c r="G23" s="270">
        <v>0</v>
      </c>
      <c r="H23" s="270">
        <v>0</v>
      </c>
      <c r="I23" s="122" t="str">
        <f t="shared" si="0"/>
        <v>-</v>
      </c>
      <c r="J23" s="270">
        <f t="shared" si="1"/>
        <v>0</v>
      </c>
      <c r="K23" s="271">
        <v>0</v>
      </c>
      <c r="L23" s="271">
        <v>0</v>
      </c>
      <c r="M23" s="271">
        <v>0</v>
      </c>
      <c r="N23" s="271">
        <v>0</v>
      </c>
      <c r="O23" s="271">
        <v>0</v>
      </c>
      <c r="P23" s="122" t="str">
        <f t="shared" si="2"/>
        <v>-</v>
      </c>
      <c r="Q23" s="270">
        <f t="shared" si="3"/>
        <v>0</v>
      </c>
    </row>
    <row r="24" spans="2:17" x14ac:dyDescent="0.25">
      <c r="B24" s="117" t="s">
        <v>49</v>
      </c>
      <c r="C24" s="274">
        <v>107</v>
      </c>
      <c r="D24" s="274">
        <v>52.22</v>
      </c>
      <c r="E24" s="274">
        <v>46.13</v>
      </c>
      <c r="F24" s="274">
        <v>94.79</v>
      </c>
      <c r="G24" s="274">
        <v>114.31</v>
      </c>
      <c r="H24" s="274">
        <v>127.83</v>
      </c>
      <c r="I24" s="126">
        <f t="shared" si="0"/>
        <v>0.11827486659084951</v>
      </c>
      <c r="J24" s="274">
        <f t="shared" si="1"/>
        <v>13.519999999999996</v>
      </c>
      <c r="K24" s="275">
        <v>71.989999999999995</v>
      </c>
      <c r="L24" s="275">
        <v>61.82</v>
      </c>
      <c r="M24" s="275">
        <v>97.35</v>
      </c>
      <c r="N24" s="275">
        <v>109.32</v>
      </c>
      <c r="O24" s="275">
        <v>138.58000000000001</v>
      </c>
      <c r="P24" s="126">
        <f t="shared" si="2"/>
        <v>0.26765459202341768</v>
      </c>
      <c r="Q24" s="274">
        <f t="shared" si="3"/>
        <v>29.260000000000019</v>
      </c>
    </row>
    <row r="25" spans="2:17" x14ac:dyDescent="0.25">
      <c r="B25" s="120" t="s">
        <v>62</v>
      </c>
      <c r="C25" s="270">
        <v>107.84</v>
      </c>
      <c r="D25" s="270">
        <v>55.84</v>
      </c>
      <c r="E25" s="270">
        <v>48.11</v>
      </c>
      <c r="F25" s="270">
        <v>95.49</v>
      </c>
      <c r="G25" s="270">
        <v>114.77</v>
      </c>
      <c r="H25" s="270">
        <v>128.08000000000001</v>
      </c>
      <c r="I25" s="122">
        <f t="shared" si="0"/>
        <v>0.11597107257994255</v>
      </c>
      <c r="J25" s="270">
        <f t="shared" si="1"/>
        <v>13.310000000000016</v>
      </c>
      <c r="K25" s="271">
        <v>71.989999999999995</v>
      </c>
      <c r="L25" s="271">
        <v>63.6</v>
      </c>
      <c r="M25" s="271">
        <v>101.68</v>
      </c>
      <c r="N25" s="271">
        <v>108.24</v>
      </c>
      <c r="O25" s="271">
        <v>141.58000000000001</v>
      </c>
      <c r="P25" s="122">
        <f t="shared" si="2"/>
        <v>0.308019216555802</v>
      </c>
      <c r="Q25" s="270">
        <f t="shared" si="3"/>
        <v>33.340000000000018</v>
      </c>
    </row>
    <row r="26" spans="2:17" x14ac:dyDescent="0.25">
      <c r="B26" s="123" t="s">
        <v>63</v>
      </c>
      <c r="C26" s="272">
        <v>117.01</v>
      </c>
      <c r="D26" s="272">
        <v>0</v>
      </c>
      <c r="E26" s="272">
        <v>0</v>
      </c>
      <c r="F26" s="272">
        <v>0</v>
      </c>
      <c r="G26" s="272">
        <v>0</v>
      </c>
      <c r="H26" s="272">
        <v>0</v>
      </c>
      <c r="I26" s="124" t="str">
        <f t="shared" si="0"/>
        <v>-</v>
      </c>
      <c r="J26" s="272">
        <f t="shared" si="1"/>
        <v>0</v>
      </c>
      <c r="K26" s="273">
        <v>71.989999999999995</v>
      </c>
      <c r="L26" s="273">
        <v>0</v>
      </c>
      <c r="M26" s="273">
        <v>101.68</v>
      </c>
      <c r="N26" s="273">
        <v>0</v>
      </c>
      <c r="O26" s="273">
        <v>0</v>
      </c>
      <c r="P26" s="124" t="str">
        <f t="shared" si="2"/>
        <v>-</v>
      </c>
      <c r="Q26" s="272">
        <f t="shared" si="3"/>
        <v>0</v>
      </c>
    </row>
    <row r="27" spans="2:17" x14ac:dyDescent="0.25">
      <c r="B27" s="123" t="s">
        <v>64</v>
      </c>
      <c r="C27" s="272">
        <v>30.06</v>
      </c>
      <c r="D27" s="272">
        <v>0</v>
      </c>
      <c r="E27" s="272">
        <v>0</v>
      </c>
      <c r="F27" s="272">
        <v>0</v>
      </c>
      <c r="G27" s="272">
        <v>0</v>
      </c>
      <c r="H27" s="272">
        <v>0</v>
      </c>
      <c r="I27" s="124" t="str">
        <f t="shared" si="0"/>
        <v>-</v>
      </c>
      <c r="J27" s="272">
        <f t="shared" si="1"/>
        <v>0</v>
      </c>
      <c r="K27" s="273">
        <v>0</v>
      </c>
      <c r="L27" s="273">
        <v>0</v>
      </c>
      <c r="M27" s="273">
        <v>0</v>
      </c>
      <c r="N27" s="273">
        <v>0</v>
      </c>
      <c r="O27" s="273">
        <v>0</v>
      </c>
      <c r="P27" s="124" t="str">
        <f t="shared" si="2"/>
        <v>-</v>
      </c>
      <c r="Q27" s="272">
        <f t="shared" si="3"/>
        <v>0</v>
      </c>
    </row>
    <row r="28" spans="2:17" x14ac:dyDescent="0.25">
      <c r="B28" s="117" t="s">
        <v>50</v>
      </c>
      <c r="C28" s="274">
        <v>41.28</v>
      </c>
      <c r="D28" s="274">
        <v>28.76</v>
      </c>
      <c r="E28" s="274">
        <v>28.24</v>
      </c>
      <c r="F28" s="274">
        <v>42.01</v>
      </c>
      <c r="G28" s="274">
        <v>51.99</v>
      </c>
      <c r="H28" s="274">
        <v>61.31</v>
      </c>
      <c r="I28" s="126">
        <f t="shared" si="0"/>
        <v>0.17926524331602223</v>
      </c>
      <c r="J28" s="274">
        <f t="shared" si="1"/>
        <v>9.32</v>
      </c>
      <c r="K28" s="275">
        <v>32.75</v>
      </c>
      <c r="L28" s="275">
        <v>43.87</v>
      </c>
      <c r="M28" s="275">
        <v>51.13</v>
      </c>
      <c r="N28" s="275">
        <v>59.56</v>
      </c>
      <c r="O28" s="275">
        <v>67.400000000000006</v>
      </c>
      <c r="P28" s="126">
        <f t="shared" si="2"/>
        <v>0.13163196776359976</v>
      </c>
      <c r="Q28" s="274">
        <f t="shared" si="3"/>
        <v>7.8400000000000034</v>
      </c>
    </row>
    <row r="29" spans="2:17" x14ac:dyDescent="0.25">
      <c r="B29" s="120" t="s">
        <v>62</v>
      </c>
      <c r="C29" s="270">
        <v>43.36</v>
      </c>
      <c r="D29" s="270">
        <v>30.7</v>
      </c>
      <c r="E29" s="270">
        <v>30.01</v>
      </c>
      <c r="F29" s="270">
        <v>44.97</v>
      </c>
      <c r="G29" s="270">
        <v>55.89</v>
      </c>
      <c r="H29" s="270">
        <v>65.510000000000005</v>
      </c>
      <c r="I29" s="122">
        <f t="shared" si="0"/>
        <v>0.1721238146358921</v>
      </c>
      <c r="J29" s="270">
        <f t="shared" si="1"/>
        <v>9.6200000000000045</v>
      </c>
      <c r="K29" s="271">
        <v>34.479999999999997</v>
      </c>
      <c r="L29" s="271">
        <v>49.23</v>
      </c>
      <c r="M29" s="271">
        <v>55.88</v>
      </c>
      <c r="N29" s="271">
        <v>63.54</v>
      </c>
      <c r="O29" s="271">
        <v>73.349999999999994</v>
      </c>
      <c r="P29" s="122">
        <f t="shared" si="2"/>
        <v>0.15439093484419253</v>
      </c>
      <c r="Q29" s="270">
        <f t="shared" si="3"/>
        <v>9.8099999999999952</v>
      </c>
    </row>
    <row r="30" spans="2:17" x14ac:dyDescent="0.25">
      <c r="B30" s="123" t="s">
        <v>63</v>
      </c>
      <c r="C30" s="272">
        <v>46.92</v>
      </c>
      <c r="D30" s="272">
        <v>32.35</v>
      </c>
      <c r="E30" s="272">
        <v>31.51</v>
      </c>
      <c r="F30" s="272">
        <v>47.15</v>
      </c>
      <c r="G30" s="272">
        <v>58.46</v>
      </c>
      <c r="H30" s="272">
        <v>68.099999999999994</v>
      </c>
      <c r="I30" s="124">
        <f t="shared" si="0"/>
        <v>0.16489907629148126</v>
      </c>
      <c r="J30" s="272">
        <f t="shared" si="1"/>
        <v>9.6399999999999935</v>
      </c>
      <c r="K30" s="273">
        <v>36.369999999999997</v>
      </c>
      <c r="L30" s="273">
        <v>51.85</v>
      </c>
      <c r="M30" s="273">
        <v>59.16</v>
      </c>
      <c r="N30" s="273">
        <v>66.22</v>
      </c>
      <c r="O30" s="273">
        <v>77.59</v>
      </c>
      <c r="P30" s="124">
        <f t="shared" si="2"/>
        <v>0.17170039263062531</v>
      </c>
      <c r="Q30" s="272">
        <f t="shared" si="3"/>
        <v>11.370000000000005</v>
      </c>
    </row>
    <row r="31" spans="2:17" x14ac:dyDescent="0.25">
      <c r="B31" s="123" t="s">
        <v>64</v>
      </c>
      <c r="C31" s="272">
        <v>28.87</v>
      </c>
      <c r="D31" s="272">
        <v>22.76</v>
      </c>
      <c r="E31" s="272">
        <v>23.58</v>
      </c>
      <c r="F31" s="272">
        <v>31.76</v>
      </c>
      <c r="G31" s="272">
        <v>39.42</v>
      </c>
      <c r="H31" s="272">
        <v>48.3</v>
      </c>
      <c r="I31" s="124">
        <f t="shared" si="0"/>
        <v>0.22526636225266339</v>
      </c>
      <c r="J31" s="272">
        <f t="shared" si="1"/>
        <v>8.8799999999999955</v>
      </c>
      <c r="K31" s="273">
        <v>25.41</v>
      </c>
      <c r="L31" s="273">
        <v>32.36</v>
      </c>
      <c r="M31" s="273">
        <v>34.89</v>
      </c>
      <c r="N31" s="273">
        <v>45.67</v>
      </c>
      <c r="O31" s="273">
        <v>46.08</v>
      </c>
      <c r="P31" s="124">
        <f t="shared" si="2"/>
        <v>8.9774469016858927E-3</v>
      </c>
      <c r="Q31" s="272">
        <f t="shared" si="3"/>
        <v>0.40999999999999659</v>
      </c>
    </row>
    <row r="32" spans="2:17" x14ac:dyDescent="0.25">
      <c r="B32" s="120" t="s">
        <v>65</v>
      </c>
      <c r="C32" s="270">
        <v>33.409999999999997</v>
      </c>
      <c r="D32" s="270">
        <v>23.06</v>
      </c>
      <c r="E32" s="270">
        <v>22.18</v>
      </c>
      <c r="F32" s="270">
        <v>30.16</v>
      </c>
      <c r="G32" s="270">
        <v>36.21</v>
      </c>
      <c r="H32" s="270">
        <v>43.56</v>
      </c>
      <c r="I32" s="122">
        <f t="shared" si="0"/>
        <v>0.20298260149130076</v>
      </c>
      <c r="J32" s="270">
        <f t="shared" si="1"/>
        <v>7.3500000000000014</v>
      </c>
      <c r="K32" s="271">
        <v>24.89</v>
      </c>
      <c r="L32" s="271">
        <v>23.88</v>
      </c>
      <c r="M32" s="271">
        <v>31.61</v>
      </c>
      <c r="N32" s="271">
        <v>42.63</v>
      </c>
      <c r="O32" s="271">
        <v>42.39</v>
      </c>
      <c r="P32" s="122">
        <f t="shared" si="2"/>
        <v>-5.6298381421534538E-3</v>
      </c>
      <c r="Q32" s="270">
        <f t="shared" si="3"/>
        <v>-0.24000000000000199</v>
      </c>
    </row>
    <row r="33" spans="2:17" x14ac:dyDescent="0.25">
      <c r="B33" s="117" t="s">
        <v>51</v>
      </c>
      <c r="C33" s="274">
        <v>51.62</v>
      </c>
      <c r="D33" s="274">
        <v>49.1</v>
      </c>
      <c r="E33" s="274">
        <v>45.63</v>
      </c>
      <c r="F33" s="274">
        <v>64.64</v>
      </c>
      <c r="G33" s="274">
        <v>73.62</v>
      </c>
      <c r="H33" s="274">
        <v>81.849999999999994</v>
      </c>
      <c r="I33" s="126">
        <f t="shared" si="0"/>
        <v>0.11179027438196121</v>
      </c>
      <c r="J33" s="274">
        <f t="shared" si="1"/>
        <v>8.2299999999999898</v>
      </c>
      <c r="K33" s="275">
        <v>45.93</v>
      </c>
      <c r="L33" s="275">
        <v>57.49</v>
      </c>
      <c r="M33" s="275">
        <v>58.36</v>
      </c>
      <c r="N33" s="275">
        <v>62.89</v>
      </c>
      <c r="O33" s="275">
        <v>76.58</v>
      </c>
      <c r="P33" s="126">
        <f t="shared" si="2"/>
        <v>0.21768166640165365</v>
      </c>
      <c r="Q33" s="274">
        <f t="shared" si="3"/>
        <v>13.689999999999998</v>
      </c>
    </row>
    <row r="34" spans="2:17" x14ac:dyDescent="0.25">
      <c r="B34" s="120" t="s">
        <v>62</v>
      </c>
      <c r="C34" s="270">
        <v>51.62</v>
      </c>
      <c r="D34" s="270">
        <v>49.1</v>
      </c>
      <c r="E34" s="270">
        <v>45.63</v>
      </c>
      <c r="F34" s="270">
        <v>64.64</v>
      </c>
      <c r="G34" s="270">
        <v>73.62</v>
      </c>
      <c r="H34" s="270">
        <v>81.849999999999994</v>
      </c>
      <c r="I34" s="122">
        <f t="shared" si="0"/>
        <v>0.11179027438196121</v>
      </c>
      <c r="J34" s="270">
        <f t="shared" si="1"/>
        <v>8.2299999999999898</v>
      </c>
      <c r="K34" s="271">
        <v>45.93</v>
      </c>
      <c r="L34" s="271">
        <v>57.49</v>
      </c>
      <c r="M34" s="271">
        <v>58.36</v>
      </c>
      <c r="N34" s="271">
        <v>62.89</v>
      </c>
      <c r="O34" s="271">
        <v>76.58</v>
      </c>
      <c r="P34" s="122">
        <f t="shared" si="2"/>
        <v>0.21768166640165365</v>
      </c>
      <c r="Q34" s="270">
        <f t="shared" si="3"/>
        <v>13.689999999999998</v>
      </c>
    </row>
    <row r="35" spans="2:17" x14ac:dyDescent="0.25">
      <c r="B35" s="117" t="s">
        <v>52</v>
      </c>
      <c r="C35" s="274">
        <v>67.78</v>
      </c>
      <c r="D35" s="274">
        <v>64.31</v>
      </c>
      <c r="E35" s="274">
        <v>82.55</v>
      </c>
      <c r="F35" s="274">
        <v>96.71</v>
      </c>
      <c r="G35" s="274">
        <v>122.12</v>
      </c>
      <c r="H35" s="274">
        <v>143.97</v>
      </c>
      <c r="I35" s="126">
        <f t="shared" si="0"/>
        <v>0.17892237143792977</v>
      </c>
      <c r="J35" s="274">
        <f t="shared" si="1"/>
        <v>21.849999999999994</v>
      </c>
      <c r="K35" s="275">
        <v>99.24</v>
      </c>
      <c r="L35" s="275">
        <v>105.09</v>
      </c>
      <c r="M35" s="275">
        <v>121.4</v>
      </c>
      <c r="N35" s="275">
        <v>137.01</v>
      </c>
      <c r="O35" s="275">
        <v>147.88999999999999</v>
      </c>
      <c r="P35" s="126">
        <f t="shared" si="2"/>
        <v>7.941026202466972E-2</v>
      </c>
      <c r="Q35" s="274">
        <f t="shared" si="3"/>
        <v>10.879999999999995</v>
      </c>
    </row>
    <row r="36" spans="2:17" x14ac:dyDescent="0.25">
      <c r="B36" s="120" t="s">
        <v>62</v>
      </c>
      <c r="C36" s="270">
        <v>88.08</v>
      </c>
      <c r="D36" s="270">
        <v>75.77</v>
      </c>
      <c r="E36" s="270">
        <v>86.58</v>
      </c>
      <c r="F36" s="270">
        <v>103.27</v>
      </c>
      <c r="G36" s="270">
        <v>127.65</v>
      </c>
      <c r="H36" s="270">
        <v>152.83000000000001</v>
      </c>
      <c r="I36" s="122">
        <f t="shared" si="0"/>
        <v>0.1972581276929104</v>
      </c>
      <c r="J36" s="270">
        <f t="shared" si="1"/>
        <v>25.180000000000007</v>
      </c>
      <c r="K36" s="271">
        <v>108.1</v>
      </c>
      <c r="L36" s="271">
        <v>112.41</v>
      </c>
      <c r="M36" s="271">
        <v>128.47</v>
      </c>
      <c r="N36" s="271">
        <v>148.04</v>
      </c>
      <c r="O36" s="271">
        <v>158.01</v>
      </c>
      <c r="P36" s="122">
        <f t="shared" si="2"/>
        <v>6.7346663064036694E-2</v>
      </c>
      <c r="Q36" s="270">
        <f t="shared" si="3"/>
        <v>9.9699999999999989</v>
      </c>
    </row>
    <row r="37" spans="2:17" x14ac:dyDescent="0.25">
      <c r="B37" s="120" t="s">
        <v>65</v>
      </c>
      <c r="C37" s="270">
        <v>45.47</v>
      </c>
      <c r="D37" s="270">
        <v>30.29</v>
      </c>
      <c r="E37" s="270">
        <v>48.86</v>
      </c>
      <c r="F37" s="270">
        <v>61.39</v>
      </c>
      <c r="G37" s="270">
        <v>90.45</v>
      </c>
      <c r="H37" s="270">
        <v>93.94</v>
      </c>
      <c r="I37" s="122">
        <f t="shared" si="0"/>
        <v>3.8584853510226669E-2</v>
      </c>
      <c r="J37" s="270">
        <f t="shared" si="1"/>
        <v>3.4899999999999949</v>
      </c>
      <c r="K37" s="271">
        <v>33.19</v>
      </c>
      <c r="L37" s="271">
        <v>63.25</v>
      </c>
      <c r="M37" s="271">
        <v>81.03</v>
      </c>
      <c r="N37" s="271">
        <v>74.72</v>
      </c>
      <c r="O37" s="271">
        <v>94.18</v>
      </c>
      <c r="P37" s="122">
        <f t="shared" si="2"/>
        <v>0.26043897216274092</v>
      </c>
      <c r="Q37" s="270">
        <f t="shared" si="3"/>
        <v>19.460000000000008</v>
      </c>
    </row>
    <row r="38" spans="2:17" x14ac:dyDescent="0.25">
      <c r="B38" s="117" t="s">
        <v>53</v>
      </c>
      <c r="C38" s="274">
        <v>43.26</v>
      </c>
      <c r="D38" s="274">
        <v>33.54</v>
      </c>
      <c r="E38" s="274">
        <v>37.840000000000003</v>
      </c>
      <c r="F38" s="274">
        <v>53.16</v>
      </c>
      <c r="G38" s="274">
        <v>62.05</v>
      </c>
      <c r="H38" s="274">
        <v>69.75</v>
      </c>
      <c r="I38" s="126">
        <f t="shared" si="0"/>
        <v>0.12409347300564066</v>
      </c>
      <c r="J38" s="274">
        <f t="shared" si="1"/>
        <v>7.7000000000000028</v>
      </c>
      <c r="K38" s="275">
        <v>40.89</v>
      </c>
      <c r="L38" s="275">
        <v>44.25</v>
      </c>
      <c r="M38" s="275">
        <v>56.46</v>
      </c>
      <c r="N38" s="275">
        <v>59.57</v>
      </c>
      <c r="O38" s="275">
        <v>62.13</v>
      </c>
      <c r="P38" s="126">
        <f t="shared" si="2"/>
        <v>4.2974651670303787E-2</v>
      </c>
      <c r="Q38" s="274">
        <f t="shared" si="3"/>
        <v>2.5600000000000023</v>
      </c>
    </row>
    <row r="39" spans="2:17" x14ac:dyDescent="0.25">
      <c r="B39" s="120" t="s">
        <v>62</v>
      </c>
      <c r="C39" s="270">
        <v>43.26</v>
      </c>
      <c r="D39" s="270">
        <v>33.54</v>
      </c>
      <c r="E39" s="270">
        <v>37.840000000000003</v>
      </c>
      <c r="F39" s="270">
        <v>53.16</v>
      </c>
      <c r="G39" s="270">
        <v>62.05</v>
      </c>
      <c r="H39" s="270">
        <v>69.75</v>
      </c>
      <c r="I39" s="122">
        <f t="shared" si="0"/>
        <v>0.12409347300564066</v>
      </c>
      <c r="J39" s="270">
        <f t="shared" si="1"/>
        <v>7.7000000000000028</v>
      </c>
      <c r="K39" s="271">
        <v>40.89</v>
      </c>
      <c r="L39" s="271">
        <v>44.25</v>
      </c>
      <c r="M39" s="271">
        <v>56.46</v>
      </c>
      <c r="N39" s="271">
        <v>59.57</v>
      </c>
      <c r="O39" s="271">
        <v>62.13</v>
      </c>
      <c r="P39" s="122">
        <f t="shared" si="2"/>
        <v>4.2974651670303787E-2</v>
      </c>
      <c r="Q39" s="270">
        <f t="shared" si="3"/>
        <v>2.5600000000000023</v>
      </c>
    </row>
    <row r="40" spans="2:17" x14ac:dyDescent="0.25">
      <c r="B40" s="123" t="s">
        <v>63</v>
      </c>
      <c r="C40" s="272">
        <v>56.68</v>
      </c>
      <c r="D40" s="272">
        <v>39.090000000000003</v>
      </c>
      <c r="E40" s="272">
        <v>40.1</v>
      </c>
      <c r="F40" s="272">
        <v>62.85</v>
      </c>
      <c r="G40" s="272">
        <v>73.61</v>
      </c>
      <c r="H40" s="272">
        <v>84.16</v>
      </c>
      <c r="I40" s="124">
        <f t="shared" si="0"/>
        <v>0.14332291808178232</v>
      </c>
      <c r="J40" s="272">
        <f t="shared" si="1"/>
        <v>10.549999999999997</v>
      </c>
      <c r="K40" s="273">
        <v>43.62</v>
      </c>
      <c r="L40" s="273">
        <v>52.59</v>
      </c>
      <c r="M40" s="273">
        <v>64.260000000000005</v>
      </c>
      <c r="N40" s="273">
        <v>70.41</v>
      </c>
      <c r="O40" s="273">
        <v>74.819999999999993</v>
      </c>
      <c r="P40" s="124">
        <f t="shared" si="2"/>
        <v>6.2633148700468544E-2</v>
      </c>
      <c r="Q40" s="272">
        <f t="shared" si="3"/>
        <v>4.4099999999999966</v>
      </c>
    </row>
    <row r="41" spans="2:17" x14ac:dyDescent="0.25">
      <c r="B41" s="123" t="s">
        <v>64</v>
      </c>
      <c r="C41" s="272">
        <v>31.7</v>
      </c>
      <c r="D41" s="272">
        <v>27.82</v>
      </c>
      <c r="E41" s="272">
        <v>34.1</v>
      </c>
      <c r="F41" s="272">
        <v>40.229999999999997</v>
      </c>
      <c r="G41" s="272">
        <v>47.48</v>
      </c>
      <c r="H41" s="272">
        <v>49.35</v>
      </c>
      <c r="I41" s="124">
        <f t="shared" si="0"/>
        <v>3.9385004212300068E-2</v>
      </c>
      <c r="J41" s="272">
        <f t="shared" si="1"/>
        <v>1.8700000000000045</v>
      </c>
      <c r="K41" s="273">
        <v>36.36</v>
      </c>
      <c r="L41" s="273">
        <v>34.369999999999997</v>
      </c>
      <c r="M41" s="273">
        <v>46.37</v>
      </c>
      <c r="N41" s="273">
        <v>41.44</v>
      </c>
      <c r="O41" s="273">
        <v>41.89</v>
      </c>
      <c r="P41" s="124">
        <f t="shared" si="2"/>
        <v>1.0859073359073435E-2</v>
      </c>
      <c r="Q41" s="272">
        <f t="shared" si="3"/>
        <v>0.45000000000000284</v>
      </c>
    </row>
    <row r="42" spans="2:17" x14ac:dyDescent="0.25">
      <c r="B42" s="117" t="s">
        <v>54</v>
      </c>
      <c r="C42" s="274">
        <v>71.48</v>
      </c>
      <c r="D42" s="274">
        <v>50.94</v>
      </c>
      <c r="E42" s="274">
        <v>53.72</v>
      </c>
      <c r="F42" s="274">
        <v>88.72</v>
      </c>
      <c r="G42" s="274">
        <v>108.87</v>
      </c>
      <c r="H42" s="274">
        <v>119.53</v>
      </c>
      <c r="I42" s="126">
        <f t="shared" si="0"/>
        <v>9.791494442913562E-2</v>
      </c>
      <c r="J42" s="274">
        <f t="shared" si="1"/>
        <v>10.659999999999997</v>
      </c>
      <c r="K42" s="275">
        <v>55.6</v>
      </c>
      <c r="L42" s="275">
        <v>83.34</v>
      </c>
      <c r="M42" s="275">
        <v>97.6</v>
      </c>
      <c r="N42" s="275">
        <v>115.05</v>
      </c>
      <c r="O42" s="275">
        <v>98.24</v>
      </c>
      <c r="P42" s="126">
        <f t="shared" si="2"/>
        <v>-0.14611038678835286</v>
      </c>
      <c r="Q42" s="274">
        <f t="shared" si="3"/>
        <v>-16.810000000000002</v>
      </c>
    </row>
    <row r="43" spans="2:17" x14ac:dyDescent="0.25">
      <c r="B43" s="120" t="s">
        <v>62</v>
      </c>
      <c r="C43" s="270">
        <v>77.83</v>
      </c>
      <c r="D43" s="270">
        <v>56.41</v>
      </c>
      <c r="E43" s="270">
        <v>62.75</v>
      </c>
      <c r="F43" s="270">
        <v>96.52</v>
      </c>
      <c r="G43" s="270">
        <v>119.31</v>
      </c>
      <c r="H43" s="270">
        <v>129.19999999999999</v>
      </c>
      <c r="I43" s="122">
        <f t="shared" si="0"/>
        <v>8.2893303159835563E-2</v>
      </c>
      <c r="J43" s="270">
        <f t="shared" si="1"/>
        <v>9.8899999999999864</v>
      </c>
      <c r="K43" s="271">
        <v>64.45</v>
      </c>
      <c r="L43" s="271">
        <v>92.91</v>
      </c>
      <c r="M43" s="271">
        <v>106.98</v>
      </c>
      <c r="N43" s="271">
        <v>126.86</v>
      </c>
      <c r="O43" s="271">
        <v>105.84</v>
      </c>
      <c r="P43" s="122">
        <f t="shared" si="2"/>
        <v>-0.16569446634084817</v>
      </c>
      <c r="Q43" s="270">
        <f t="shared" si="3"/>
        <v>-21.019999999999996</v>
      </c>
    </row>
    <row r="44" spans="2:17" x14ac:dyDescent="0.25">
      <c r="B44" s="123" t="s">
        <v>63</v>
      </c>
      <c r="C44" s="272">
        <v>81.78</v>
      </c>
      <c r="D44" s="272">
        <v>0</v>
      </c>
      <c r="E44" s="272">
        <v>65.540000000000006</v>
      </c>
      <c r="F44" s="272">
        <v>100.75</v>
      </c>
      <c r="G44" s="272">
        <v>126.98</v>
      </c>
      <c r="H44" s="272">
        <v>135.56</v>
      </c>
      <c r="I44" s="124">
        <f t="shared" si="0"/>
        <v>6.7569696015120417E-2</v>
      </c>
      <c r="J44" s="272">
        <f t="shared" si="1"/>
        <v>8.5799999999999983</v>
      </c>
      <c r="K44" s="273">
        <v>68.739999999999995</v>
      </c>
      <c r="L44" s="273">
        <v>97.78</v>
      </c>
      <c r="M44" s="273">
        <v>121.96</v>
      </c>
      <c r="N44" s="273">
        <v>129.97999999999999</v>
      </c>
      <c r="O44" s="273">
        <v>105.32</v>
      </c>
      <c r="P44" s="124">
        <f t="shared" si="2"/>
        <v>-0.18972149561470997</v>
      </c>
      <c r="Q44" s="272">
        <f t="shared" si="3"/>
        <v>-24.659999999999997</v>
      </c>
    </row>
    <row r="45" spans="2:17" x14ac:dyDescent="0.25">
      <c r="B45" s="123" t="s">
        <v>64</v>
      </c>
      <c r="C45" s="272">
        <v>62.86</v>
      </c>
      <c r="D45" s="272">
        <v>0</v>
      </c>
      <c r="E45" s="272">
        <v>51.57</v>
      </c>
      <c r="F45" s="272">
        <v>79.3</v>
      </c>
      <c r="G45" s="272">
        <v>88.65</v>
      </c>
      <c r="H45" s="272">
        <v>103.35</v>
      </c>
      <c r="I45" s="124">
        <f t="shared" si="0"/>
        <v>0.16582064297800314</v>
      </c>
      <c r="J45" s="272">
        <f t="shared" si="1"/>
        <v>14.699999999999989</v>
      </c>
      <c r="K45" s="273">
        <v>51.94</v>
      </c>
      <c r="L45" s="273">
        <v>73.11</v>
      </c>
      <c r="M45" s="273">
        <v>46.09</v>
      </c>
      <c r="N45" s="273">
        <v>114.22</v>
      </c>
      <c r="O45" s="273">
        <v>107.99</v>
      </c>
      <c r="P45" s="124">
        <f t="shared" si="2"/>
        <v>-5.4543862721064595E-2</v>
      </c>
      <c r="Q45" s="272">
        <f t="shared" si="3"/>
        <v>-6.230000000000004</v>
      </c>
    </row>
    <row r="46" spans="2:17" x14ac:dyDescent="0.25">
      <c r="B46" s="120" t="s">
        <v>65</v>
      </c>
      <c r="C46" s="270">
        <v>50.93</v>
      </c>
      <c r="D46" s="270">
        <v>31.82</v>
      </c>
      <c r="E46" s="270">
        <v>24.11</v>
      </c>
      <c r="F46" s="270">
        <v>48.07</v>
      </c>
      <c r="G46" s="270">
        <v>55.12</v>
      </c>
      <c r="H46" s="270">
        <v>69.489999999999995</v>
      </c>
      <c r="I46" s="122">
        <f t="shared" si="0"/>
        <v>0.26070391872278664</v>
      </c>
      <c r="J46" s="270">
        <f t="shared" si="1"/>
        <v>14.369999999999997</v>
      </c>
      <c r="K46" s="271">
        <v>19.97</v>
      </c>
      <c r="L46" s="271">
        <v>33.44</v>
      </c>
      <c r="M46" s="271">
        <v>48.68</v>
      </c>
      <c r="N46" s="271">
        <v>53.43</v>
      </c>
      <c r="O46" s="271">
        <v>60.27</v>
      </c>
      <c r="P46" s="122">
        <f t="shared" si="2"/>
        <v>0.12801796743402583</v>
      </c>
      <c r="Q46" s="270">
        <f t="shared" si="3"/>
        <v>6.8400000000000034</v>
      </c>
    </row>
    <row r="47" spans="2:17" x14ac:dyDescent="0.25">
      <c r="B47" s="117" t="s">
        <v>55</v>
      </c>
      <c r="C47" s="274">
        <v>39.85</v>
      </c>
      <c r="D47" s="274">
        <v>22.7</v>
      </c>
      <c r="E47" s="274">
        <v>29.35</v>
      </c>
      <c r="F47" s="274">
        <v>43.18</v>
      </c>
      <c r="G47" s="274">
        <v>54</v>
      </c>
      <c r="H47" s="274">
        <v>56.57</v>
      </c>
      <c r="I47" s="126">
        <f t="shared" si="0"/>
        <v>4.7592592592592631E-2</v>
      </c>
      <c r="J47" s="274">
        <f t="shared" si="1"/>
        <v>2.5700000000000003</v>
      </c>
      <c r="K47" s="275">
        <v>33.9</v>
      </c>
      <c r="L47" s="275">
        <v>35.25</v>
      </c>
      <c r="M47" s="275">
        <v>47.95</v>
      </c>
      <c r="N47" s="275">
        <v>47.97</v>
      </c>
      <c r="O47" s="275">
        <v>46.58</v>
      </c>
      <c r="P47" s="126">
        <f t="shared" si="2"/>
        <v>-2.897644361058993E-2</v>
      </c>
      <c r="Q47" s="274">
        <f t="shared" si="3"/>
        <v>-1.3900000000000006</v>
      </c>
    </row>
    <row r="48" spans="2:17" x14ac:dyDescent="0.25">
      <c r="B48" s="120" t="s">
        <v>62</v>
      </c>
      <c r="C48" s="270">
        <v>40.090000000000003</v>
      </c>
      <c r="D48" s="270">
        <v>22.26</v>
      </c>
      <c r="E48" s="270">
        <v>29.29</v>
      </c>
      <c r="F48" s="270">
        <v>43.74</v>
      </c>
      <c r="G48" s="270">
        <v>54.6</v>
      </c>
      <c r="H48" s="270">
        <v>58.13</v>
      </c>
      <c r="I48" s="122">
        <f t="shared" si="0"/>
        <v>6.4652014652014644E-2</v>
      </c>
      <c r="J48" s="270">
        <f t="shared" si="1"/>
        <v>3.5300000000000011</v>
      </c>
      <c r="K48" s="271">
        <v>33.96</v>
      </c>
      <c r="L48" s="271">
        <v>35.51</v>
      </c>
      <c r="M48" s="271">
        <v>48.73</v>
      </c>
      <c r="N48" s="271">
        <v>49.07</v>
      </c>
      <c r="O48" s="271">
        <v>47.61</v>
      </c>
      <c r="P48" s="122">
        <f t="shared" si="2"/>
        <v>-2.9753413490931302E-2</v>
      </c>
      <c r="Q48" s="270">
        <f t="shared" si="3"/>
        <v>-1.4600000000000009</v>
      </c>
    </row>
    <row r="49" spans="2:17" x14ac:dyDescent="0.25">
      <c r="B49" s="123" t="s">
        <v>63</v>
      </c>
      <c r="C49" s="272">
        <v>43.4</v>
      </c>
      <c r="D49" s="272">
        <v>22.57</v>
      </c>
      <c r="E49" s="272">
        <v>31.13</v>
      </c>
      <c r="F49" s="272">
        <v>47.77</v>
      </c>
      <c r="G49" s="272">
        <v>59.8</v>
      </c>
      <c r="H49" s="272">
        <v>61.8</v>
      </c>
      <c r="I49" s="124">
        <f t="shared" si="0"/>
        <v>3.3444816053511683E-2</v>
      </c>
      <c r="J49" s="272">
        <f t="shared" si="1"/>
        <v>2</v>
      </c>
      <c r="K49" s="273">
        <v>37.520000000000003</v>
      </c>
      <c r="L49" s="273">
        <v>39</v>
      </c>
      <c r="M49" s="273">
        <v>52.58</v>
      </c>
      <c r="N49" s="273">
        <v>51.14</v>
      </c>
      <c r="O49" s="273">
        <v>48.61</v>
      </c>
      <c r="P49" s="124">
        <f t="shared" si="2"/>
        <v>-4.9472037543996872E-2</v>
      </c>
      <c r="Q49" s="272">
        <f t="shared" si="3"/>
        <v>-2.5300000000000011</v>
      </c>
    </row>
    <row r="50" spans="2:17" x14ac:dyDescent="0.25">
      <c r="B50" s="123" t="s">
        <v>64</v>
      </c>
      <c r="C50" s="272">
        <v>28.7</v>
      </c>
      <c r="D50" s="272">
        <v>21.23</v>
      </c>
      <c r="E50" s="272">
        <v>23.12</v>
      </c>
      <c r="F50" s="272">
        <v>33.61</v>
      </c>
      <c r="G50" s="272">
        <v>39.770000000000003</v>
      </c>
      <c r="H50" s="272">
        <v>48.41</v>
      </c>
      <c r="I50" s="124">
        <f t="shared" si="0"/>
        <v>0.21724918280110628</v>
      </c>
      <c r="J50" s="272">
        <f t="shared" si="1"/>
        <v>8.6399999999999935</v>
      </c>
      <c r="K50" s="273">
        <v>22.35</v>
      </c>
      <c r="L50" s="273">
        <v>27.5</v>
      </c>
      <c r="M50" s="273">
        <v>37.299999999999997</v>
      </c>
      <c r="N50" s="273">
        <v>43.7</v>
      </c>
      <c r="O50" s="273">
        <v>45.03</v>
      </c>
      <c r="P50" s="124">
        <f t="shared" si="2"/>
        <v>3.0434782608695699E-2</v>
      </c>
      <c r="Q50" s="272">
        <f t="shared" si="3"/>
        <v>1.3299999999999983</v>
      </c>
    </row>
    <row r="51" spans="2:17" x14ac:dyDescent="0.25">
      <c r="B51" s="120" t="s">
        <v>65</v>
      </c>
      <c r="C51" s="270">
        <v>35.76</v>
      </c>
      <c r="D51" s="270">
        <v>16.5</v>
      </c>
      <c r="E51" s="270">
        <v>23.32</v>
      </c>
      <c r="F51" s="270">
        <v>71.760000000000005</v>
      </c>
      <c r="G51" s="270">
        <v>82.76</v>
      </c>
      <c r="H51" s="270">
        <v>68.41</v>
      </c>
      <c r="I51" s="122">
        <f t="shared" si="0"/>
        <v>-0.17339294345094258</v>
      </c>
      <c r="J51" s="270">
        <f t="shared" si="1"/>
        <v>-14.350000000000009</v>
      </c>
      <c r="K51" s="271">
        <v>26.25</v>
      </c>
      <c r="L51" s="271">
        <v>40.409999999999997</v>
      </c>
      <c r="M51" s="271">
        <v>50.25</v>
      </c>
      <c r="N51" s="271">
        <v>80.48</v>
      </c>
      <c r="O51" s="271">
        <v>74.25</v>
      </c>
      <c r="P51" s="122">
        <f t="shared" si="2"/>
        <v>-7.741053677932408E-2</v>
      </c>
      <c r="Q51" s="270">
        <f t="shared" si="3"/>
        <v>-6.230000000000004</v>
      </c>
    </row>
    <row r="52" spans="2:17" ht="6.95" customHeight="1" x14ac:dyDescent="0.25">
      <c r="B52" s="127"/>
      <c r="C52" s="128"/>
      <c r="D52" s="128"/>
      <c r="E52" s="128"/>
      <c r="F52" s="128"/>
      <c r="G52" s="129"/>
      <c r="H52" s="128"/>
      <c r="I52" s="130"/>
      <c r="J52" s="128"/>
      <c r="K52" s="128"/>
      <c r="L52" s="128"/>
      <c r="M52" s="128"/>
      <c r="N52" s="128"/>
      <c r="O52" s="130"/>
      <c r="P52" s="130"/>
      <c r="Q52" s="130"/>
    </row>
    <row r="53" spans="2:17" ht="15" customHeight="1" x14ac:dyDescent="0.25">
      <c r="B53" s="131" t="s">
        <v>57</v>
      </c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</row>
  </sheetData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BA3B2-CFE1-4EFF-89DB-7BC5E9BBAC66}">
  <sheetPr>
    <tabColor theme="4"/>
  </sheetPr>
  <dimension ref="B4:B25"/>
  <sheetViews>
    <sheetView showGridLines="0" workbookViewId="0">
      <selection activeCell="G10" sqref="G10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x14ac:dyDescent="0.25">
      <c r="B25" t="s">
        <v>165</v>
      </c>
    </row>
  </sheetData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8F1C4-8384-4524-8DBF-D552364E8F9E}">
  <sheetPr>
    <tabColor theme="4" tint="0.39997558519241921"/>
  </sheetPr>
  <dimension ref="A1:AE131"/>
  <sheetViews>
    <sheetView showGridLines="0" zoomScaleNormal="100" workbookViewId="0">
      <selection activeCell="G10" sqref="G10"/>
    </sheetView>
  </sheetViews>
  <sheetFormatPr baseColWidth="10" defaultRowHeight="15" x14ac:dyDescent="0.25"/>
  <cols>
    <col min="1" max="1" width="17.7109375" customWidth="1"/>
    <col min="2" max="2" width="28.7109375" customWidth="1"/>
    <col min="3" max="4" width="14.28515625" customWidth="1"/>
    <col min="5" max="12" width="14.7109375" customWidth="1"/>
    <col min="13" max="13" width="11.42578125" customWidth="1"/>
    <col min="14" max="14" width="14.7109375" customWidth="1"/>
    <col min="20" max="20" width="12.42578125" customWidth="1"/>
    <col min="27" max="27" width="14" customWidth="1"/>
    <col min="31" max="31" width="11.42578125" style="1"/>
  </cols>
  <sheetData>
    <row r="1" spans="1:31" ht="30" customHeight="1" x14ac:dyDescent="0.25">
      <c r="B1" s="1" t="s">
        <v>313</v>
      </c>
      <c r="C1" s="1"/>
      <c r="D1" s="1"/>
      <c r="F1" s="276"/>
      <c r="G1" s="276"/>
      <c r="H1" s="276"/>
      <c r="J1" s="276"/>
    </row>
    <row r="3" spans="1:31" s="4" customFormat="1" ht="25.5" customHeight="1" thickBot="1" x14ac:dyDescent="0.3">
      <c r="B3" s="85" t="s">
        <v>314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AE3" s="1"/>
    </row>
    <row r="4" spans="1:31" s="4" customFormat="1" ht="6" customHeight="1" x14ac:dyDescent="0.25">
      <c r="AE4" s="1"/>
    </row>
    <row r="5" spans="1:31" s="4" customFormat="1" ht="45" x14ac:dyDescent="0.25">
      <c r="C5" s="205" t="s">
        <v>265</v>
      </c>
      <c r="D5" s="205" t="s">
        <v>266</v>
      </c>
      <c r="E5" s="205" t="s">
        <v>267</v>
      </c>
      <c r="F5" s="205" t="s">
        <v>268</v>
      </c>
      <c r="G5" s="206" t="str">
        <f>CONCATENATE("var. ",RIGHT(F5,2),"/",RIGHT(E5,2))</f>
        <v>var. 23/22</v>
      </c>
      <c r="H5" s="206" t="str">
        <f>CONCATENATE("dif. ",RIGHT(F5,2),"/",RIGHT(E5,2))</f>
        <v>dif. 23/22</v>
      </c>
      <c r="I5" s="206" t="str">
        <f>CONCATENATE("%/s total España ",RIGHT(F5,4))</f>
        <v>%/s total España 2023</v>
      </c>
      <c r="J5" s="205" t="s">
        <v>269</v>
      </c>
      <c r="K5" s="206" t="str">
        <f>CONCATENATE("var. ",RIGHT(J5,2),"/",RIGHT(F5,2))</f>
        <v>var. 24/23</v>
      </c>
      <c r="L5" s="206" t="str">
        <f>CONCATENATE("dif. ",RIGHT(J5,2),"/",RIGHT(F5,2))</f>
        <v>dif. 24/23</v>
      </c>
      <c r="M5" s="206" t="str">
        <f>CONCATENATE("%/s total España ",RIGHT(J5,4))</f>
        <v>%/s total España 2024</v>
      </c>
      <c r="N5" s="205" t="s">
        <v>270</v>
      </c>
      <c r="O5" s="206" t="str">
        <f>CONCATENATE("var. ",RIGHT(N5,2),"/",RIGHT(J5,2))</f>
        <v>var. 25/24</v>
      </c>
      <c r="P5" s="206" t="str">
        <f>CONCATENATE("dif. ",RIGHT(N5,2),"/",RIGHT(J5,2))</f>
        <v>dif. 25/24</v>
      </c>
      <c r="Q5" s="206" t="str">
        <f>CONCATENATE("var. ",RIGHT(N5,2),"/",RIGHT(C5,2))</f>
        <v>var. 25/20</v>
      </c>
      <c r="R5" s="206" t="str">
        <f>CONCATENATE("dif. ",RIGHT(N5,2),"/",RIGHT(C5,2))</f>
        <v>dif. 25/20</v>
      </c>
      <c r="S5" s="206" t="str">
        <f>CONCATENATE("%/s total España ",RIGHT(N5,4))</f>
        <v>%/s total España 2025</v>
      </c>
      <c r="T5" s="206" t="str">
        <f>CONCATENATE("%/s total Turistas ",RIGHT(N5,4))</f>
        <v>%/s total Turistas 2025</v>
      </c>
      <c r="AE5" s="1"/>
    </row>
    <row r="6" spans="1:31" s="4" customFormat="1" ht="18.75" x14ac:dyDescent="0.3">
      <c r="B6" s="277" t="s">
        <v>177</v>
      </c>
      <c r="C6" s="278">
        <v>71319</v>
      </c>
      <c r="D6" s="278">
        <v>77584</v>
      </c>
      <c r="E6" s="278">
        <v>190426</v>
      </c>
      <c r="F6" s="278">
        <v>205238</v>
      </c>
      <c r="G6" s="279">
        <f t="shared" ref="G6:G11" si="0">F6/E6-1</f>
        <v>7.7783495951183168E-2</v>
      </c>
      <c r="H6" s="278">
        <f t="shared" ref="H6:H11" si="1">F6-E6</f>
        <v>14812</v>
      </c>
      <c r="I6" s="279"/>
      <c r="J6" s="278">
        <v>213816</v>
      </c>
      <c r="K6" s="279">
        <f t="shared" ref="K6:K11" si="2">J6/F6-1</f>
        <v>4.1795379023377821E-2</v>
      </c>
      <c r="L6" s="278">
        <f t="shared" ref="L6:L11" si="3">J6-F6</f>
        <v>8578</v>
      </c>
      <c r="M6" s="279"/>
      <c r="N6" s="278">
        <v>213733</v>
      </c>
      <c r="O6" s="279">
        <f t="shared" ref="O6:O11" si="4">N6/J6-1</f>
        <v>-3.8818423317243944E-4</v>
      </c>
      <c r="P6" s="278">
        <f t="shared" ref="P6:P11" si="5">N6-J6</f>
        <v>-83</v>
      </c>
      <c r="Q6" s="279">
        <f>N6/C6-1</f>
        <v>1.9968591819851653</v>
      </c>
      <c r="R6" s="278">
        <f>N6-C6</f>
        <v>142414</v>
      </c>
      <c r="S6" s="279"/>
      <c r="T6" s="279"/>
      <c r="V6" s="37"/>
      <c r="AE6" s="1"/>
    </row>
    <row r="7" spans="1:31" ht="18.75" x14ac:dyDescent="0.3">
      <c r="A7" s="4"/>
      <c r="B7" s="277" t="s">
        <v>178</v>
      </c>
      <c r="C7" s="278">
        <v>14652</v>
      </c>
      <c r="D7" s="278">
        <v>37616</v>
      </c>
      <c r="E7" s="278">
        <v>24500</v>
      </c>
      <c r="F7" s="278">
        <v>26474</v>
      </c>
      <c r="G7" s="279">
        <f t="shared" si="0"/>
        <v>8.0571428571428516E-2</v>
      </c>
      <c r="H7" s="278">
        <f t="shared" si="1"/>
        <v>1974</v>
      </c>
      <c r="I7" s="279">
        <f>F7/$F$7</f>
        <v>1</v>
      </c>
      <c r="J7" s="278">
        <v>22996</v>
      </c>
      <c r="K7" s="279">
        <f t="shared" si="2"/>
        <v>-0.13137417843922339</v>
      </c>
      <c r="L7" s="278">
        <f t="shared" si="3"/>
        <v>-3478</v>
      </c>
      <c r="M7" s="279">
        <f>J7/$J$7</f>
        <v>1</v>
      </c>
      <c r="N7" s="278">
        <v>26539</v>
      </c>
      <c r="O7" s="279">
        <f t="shared" si="4"/>
        <v>0.15407027309097243</v>
      </c>
      <c r="P7" s="278">
        <f t="shared" si="5"/>
        <v>3543</v>
      </c>
      <c r="Q7" s="279">
        <f t="shared" ref="Q7:Q11" si="6">N7/C7-1</f>
        <v>0.81128856128856119</v>
      </c>
      <c r="R7" s="278">
        <f t="shared" ref="R7:R11" si="7">N7-C7</f>
        <v>11887</v>
      </c>
      <c r="S7" s="279">
        <f>N7/$N$7</f>
        <v>1</v>
      </c>
      <c r="T7" s="279">
        <f>N7/$N$6</f>
        <v>0.12416893975193349</v>
      </c>
      <c r="V7" s="37"/>
      <c r="W7" s="103"/>
      <c r="AE7" s="1" t="s">
        <v>179</v>
      </c>
    </row>
    <row r="8" spans="1:31" ht="15.75" x14ac:dyDescent="0.25">
      <c r="A8" s="4"/>
      <c r="B8" s="280" t="s">
        <v>102</v>
      </c>
      <c r="C8" s="281">
        <v>4587</v>
      </c>
      <c r="D8" s="281">
        <v>9019</v>
      </c>
      <c r="E8" s="281">
        <v>7256</v>
      </c>
      <c r="F8" s="281">
        <v>9010</v>
      </c>
      <c r="G8" s="282">
        <f t="shared" si="0"/>
        <v>0.24173098125689085</v>
      </c>
      <c r="H8" s="281">
        <f t="shared" si="1"/>
        <v>1754</v>
      </c>
      <c r="I8" s="282">
        <f>F8/$F$7</f>
        <v>0.34033391251794215</v>
      </c>
      <c r="J8" s="281">
        <v>7991</v>
      </c>
      <c r="K8" s="282">
        <f t="shared" si="2"/>
        <v>-0.11309655937846841</v>
      </c>
      <c r="L8" s="281">
        <f t="shared" si="3"/>
        <v>-1019</v>
      </c>
      <c r="M8" s="282">
        <f>J8/$J$7</f>
        <v>0.34749521655940163</v>
      </c>
      <c r="N8" s="281">
        <v>10248</v>
      </c>
      <c r="O8" s="282">
        <f t="shared" si="4"/>
        <v>0.28244274809160297</v>
      </c>
      <c r="P8" s="281">
        <f t="shared" si="5"/>
        <v>2257</v>
      </c>
      <c r="Q8" s="282">
        <f t="shared" si="6"/>
        <v>1.2341399607586658</v>
      </c>
      <c r="R8" s="281">
        <f t="shared" si="7"/>
        <v>5661</v>
      </c>
      <c r="S8" s="282">
        <f>N8/$N$7</f>
        <v>0.38614868683823805</v>
      </c>
      <c r="T8" s="282">
        <f>N8/$N$6</f>
        <v>4.7947673031305413E-2</v>
      </c>
      <c r="V8" s="37"/>
      <c r="W8" s="103"/>
      <c r="AE8" s="1" t="s">
        <v>180</v>
      </c>
    </row>
    <row r="9" spans="1:31" s="4" customFormat="1" x14ac:dyDescent="0.25">
      <c r="B9" s="283" t="s">
        <v>105</v>
      </c>
      <c r="C9" s="284">
        <v>10065</v>
      </c>
      <c r="D9" s="284">
        <v>28597</v>
      </c>
      <c r="E9" s="284">
        <v>17244</v>
      </c>
      <c r="F9" s="284">
        <v>17464</v>
      </c>
      <c r="G9" s="285">
        <f t="shared" si="0"/>
        <v>1.2758060774762159E-2</v>
      </c>
      <c r="H9" s="286">
        <f t="shared" si="1"/>
        <v>220</v>
      </c>
      <c r="I9" s="287">
        <f>F9/$F$7</f>
        <v>0.65966608748205791</v>
      </c>
      <c r="J9" s="284">
        <v>15005</v>
      </c>
      <c r="K9" s="285">
        <f t="shared" si="2"/>
        <v>-0.14080393953275305</v>
      </c>
      <c r="L9" s="286">
        <f t="shared" si="3"/>
        <v>-2459</v>
      </c>
      <c r="M9" s="287">
        <f>J9/$J$7</f>
        <v>0.65250478344059837</v>
      </c>
      <c r="N9" s="284">
        <v>16291</v>
      </c>
      <c r="O9" s="285">
        <f t="shared" si="4"/>
        <v>8.5704765078307155E-2</v>
      </c>
      <c r="P9" s="286">
        <f t="shared" si="5"/>
        <v>1286</v>
      </c>
      <c r="Q9" s="285">
        <f t="shared" si="6"/>
        <v>0.61857923497267753</v>
      </c>
      <c r="R9" s="286">
        <f t="shared" si="7"/>
        <v>6226</v>
      </c>
      <c r="S9" s="287">
        <f>N9/$N$7</f>
        <v>0.61385131316176189</v>
      </c>
      <c r="T9" s="287">
        <f>N9/$N$6</f>
        <v>7.6221266720628067E-2</v>
      </c>
      <c r="V9" s="37"/>
      <c r="W9" s="103"/>
      <c r="AE9" s="1" t="s">
        <v>181</v>
      </c>
    </row>
    <row r="10" spans="1:31" s="4" customFormat="1" x14ac:dyDescent="0.25">
      <c r="B10" s="288" t="s">
        <v>182</v>
      </c>
      <c r="C10" s="37">
        <v>9720</v>
      </c>
      <c r="D10" s="37">
        <v>17704</v>
      </c>
      <c r="E10" s="37">
        <v>12527</v>
      </c>
      <c r="F10" s="37">
        <v>15483</v>
      </c>
      <c r="G10" s="27">
        <f t="shared" si="0"/>
        <v>0.23597030414305098</v>
      </c>
      <c r="H10" s="25">
        <f t="shared" si="1"/>
        <v>2956</v>
      </c>
      <c r="I10" s="39">
        <f>F10/$F$7</f>
        <v>0.58483795421923401</v>
      </c>
      <c r="J10" s="37">
        <v>11950</v>
      </c>
      <c r="K10" s="27">
        <f t="shared" si="2"/>
        <v>-0.22818575211522318</v>
      </c>
      <c r="L10" s="25">
        <f t="shared" si="3"/>
        <v>-3533</v>
      </c>
      <c r="M10" s="39">
        <f>J10/$J$7</f>
        <v>0.51965559227691771</v>
      </c>
      <c r="N10" s="37">
        <v>3551</v>
      </c>
      <c r="O10" s="27">
        <f t="shared" si="4"/>
        <v>-0.70284518828451881</v>
      </c>
      <c r="P10" s="25">
        <f t="shared" si="5"/>
        <v>-8399</v>
      </c>
      <c r="Q10" s="27">
        <f t="shared" si="6"/>
        <v>-0.63467078189300419</v>
      </c>
      <c r="R10" s="25">
        <f t="shared" si="7"/>
        <v>-6169</v>
      </c>
      <c r="S10" s="39">
        <f>N10/$N$7</f>
        <v>0.13380308225630205</v>
      </c>
      <c r="T10" s="39">
        <f>N10/$N$6</f>
        <v>1.6614186859305768E-2</v>
      </c>
      <c r="V10" s="37"/>
      <c r="W10" s="103"/>
      <c r="AE10" s="1" t="s">
        <v>183</v>
      </c>
    </row>
    <row r="11" spans="1:31" s="4" customFormat="1" x14ac:dyDescent="0.25">
      <c r="B11" s="288" t="s">
        <v>184</v>
      </c>
      <c r="C11" s="37">
        <f>C9-C10</f>
        <v>345</v>
      </c>
      <c r="D11" s="37">
        <f>D9-D10</f>
        <v>10893</v>
      </c>
      <c r="E11" s="37">
        <f>E9-E10</f>
        <v>4717</v>
      </c>
      <c r="F11" s="37">
        <f>F9-F10</f>
        <v>1981</v>
      </c>
      <c r="G11" s="27">
        <f t="shared" si="0"/>
        <v>-0.58002967988128051</v>
      </c>
      <c r="H11" s="25">
        <f t="shared" si="1"/>
        <v>-2736</v>
      </c>
      <c r="I11" s="39">
        <f>F11/$F$7</f>
        <v>7.4828133262823907E-2</v>
      </c>
      <c r="J11" s="37">
        <f>J9-J10</f>
        <v>3055</v>
      </c>
      <c r="K11" s="27">
        <f t="shared" si="2"/>
        <v>0.54215042907622424</v>
      </c>
      <c r="L11" s="25">
        <f t="shared" si="3"/>
        <v>1074</v>
      </c>
      <c r="M11" s="39">
        <f>J11/$J$7</f>
        <v>0.13284919116368063</v>
      </c>
      <c r="N11" s="37">
        <f>N9-N10</f>
        <v>12740</v>
      </c>
      <c r="O11" s="27">
        <f t="shared" si="4"/>
        <v>3.1702127659574471</v>
      </c>
      <c r="P11" s="25">
        <f t="shared" si="5"/>
        <v>9685</v>
      </c>
      <c r="Q11" s="27">
        <f t="shared" si="6"/>
        <v>35.927536231884055</v>
      </c>
      <c r="R11" s="25">
        <f t="shared" si="7"/>
        <v>12395</v>
      </c>
      <c r="S11" s="39">
        <f>N11/$N$7</f>
        <v>0.48004823090545989</v>
      </c>
      <c r="T11" s="39">
        <f>N11/$N$6</f>
        <v>5.9607079861322305E-2</v>
      </c>
      <c r="V11" s="37"/>
      <c r="W11" s="103"/>
      <c r="AE11" s="1" t="s">
        <v>185</v>
      </c>
    </row>
    <row r="12" spans="1:31" s="4" customFormat="1" ht="7.5" customHeight="1" x14ac:dyDescent="0.25">
      <c r="B12" s="289"/>
      <c r="C12" s="289"/>
      <c r="D12" s="289"/>
      <c r="E12" s="289"/>
      <c r="F12" s="289"/>
      <c r="G12" s="289"/>
      <c r="H12" s="289"/>
      <c r="I12" s="289"/>
      <c r="J12" s="289"/>
      <c r="K12" s="289"/>
      <c r="L12" s="289"/>
      <c r="M12" s="289"/>
      <c r="N12" s="289"/>
      <c r="O12" s="289"/>
      <c r="P12" s="289"/>
      <c r="Q12" s="289"/>
      <c r="R12" s="289"/>
      <c r="S12" s="289"/>
      <c r="T12" s="289"/>
      <c r="AE12" s="1" t="s">
        <v>186</v>
      </c>
    </row>
    <row r="13" spans="1:31" s="4" customFormat="1" x14ac:dyDescent="0.25">
      <c r="B13" s="202" t="s">
        <v>187</v>
      </c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202"/>
      <c r="Q13" s="202"/>
      <c r="R13" s="202"/>
      <c r="S13" s="202"/>
      <c r="T13" s="202"/>
      <c r="AE13" s="1" t="s">
        <v>188</v>
      </c>
    </row>
    <row r="14" spans="1:31" s="4" customFormat="1" x14ac:dyDescent="0.25">
      <c r="AE14" s="1"/>
    </row>
    <row r="37" spans="2:31" s="4" customFormat="1" ht="15.75" hidden="1" customHeight="1" thickBot="1" x14ac:dyDescent="0.3">
      <c r="B37" s="12" t="s">
        <v>189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07"/>
      <c r="T37" s="107"/>
      <c r="AE37" s="1"/>
    </row>
    <row r="38" spans="2:31" s="4" customFormat="1" ht="6" hidden="1" customHeight="1" thickBot="1" x14ac:dyDescent="0.3">
      <c r="AE38" s="1"/>
    </row>
    <row r="39" spans="2:31" s="4" customFormat="1" ht="30" hidden="1" x14ac:dyDescent="0.25">
      <c r="E39" s="112"/>
      <c r="F39" s="112"/>
      <c r="G39" s="112"/>
      <c r="H39" s="112"/>
      <c r="I39" s="112"/>
      <c r="J39" s="15">
        <v>2020</v>
      </c>
      <c r="K39" s="15"/>
      <c r="L39" s="15"/>
      <c r="M39" s="15" t="s">
        <v>190</v>
      </c>
      <c r="N39" s="15">
        <v>2021</v>
      </c>
      <c r="O39" s="15" t="s">
        <v>190</v>
      </c>
      <c r="P39" s="15" t="s">
        <v>191</v>
      </c>
      <c r="Q39" s="15" t="s">
        <v>192</v>
      </c>
      <c r="R39" s="15" t="s">
        <v>193</v>
      </c>
      <c r="S39" s="112"/>
      <c r="T39" s="112"/>
      <c r="AE39" s="1"/>
    </row>
    <row r="40" spans="2:31" s="4" customFormat="1" ht="18.75" hidden="1" x14ac:dyDescent="0.3">
      <c r="B40" s="277" t="s">
        <v>177</v>
      </c>
      <c r="C40" s="277"/>
      <c r="D40" s="277"/>
      <c r="E40" s="278"/>
      <c r="F40" s="278"/>
      <c r="G40" s="278"/>
      <c r="H40" s="278"/>
      <c r="I40" s="278"/>
      <c r="J40" s="278">
        <v>1824653</v>
      </c>
      <c r="K40" s="278"/>
      <c r="L40" s="278"/>
      <c r="M40" s="279"/>
      <c r="N40" s="278">
        <v>2354005</v>
      </c>
      <c r="O40" s="279"/>
      <c r="P40" s="279">
        <v>1</v>
      </c>
      <c r="Q40" s="279">
        <v>0.2901110512519367</v>
      </c>
      <c r="R40" s="278">
        <v>529352</v>
      </c>
      <c r="S40" s="290"/>
      <c r="T40" s="290"/>
      <c r="AE40" s="1"/>
    </row>
    <row r="41" spans="2:31" ht="18.75" hidden="1" x14ac:dyDescent="0.3">
      <c r="B41" s="277" t="s">
        <v>178</v>
      </c>
      <c r="C41" s="277"/>
      <c r="D41" s="277"/>
      <c r="E41" s="278"/>
      <c r="F41" s="278"/>
      <c r="G41" s="278"/>
      <c r="H41" s="278"/>
      <c r="I41" s="278"/>
      <c r="J41" s="278">
        <v>603938</v>
      </c>
      <c r="K41" s="278"/>
      <c r="L41" s="278"/>
      <c r="M41" s="279">
        <v>1</v>
      </c>
      <c r="N41" s="278">
        <v>936181</v>
      </c>
      <c r="O41" s="279">
        <v>1</v>
      </c>
      <c r="P41" s="279">
        <v>0.39769711619134201</v>
      </c>
      <c r="Q41" s="279">
        <v>0.55012766211101138</v>
      </c>
      <c r="R41" s="278">
        <v>332243</v>
      </c>
      <c r="S41" s="290"/>
      <c r="T41" s="290"/>
      <c r="AE41" s="1" t="s">
        <v>179</v>
      </c>
    </row>
    <row r="42" spans="2:31" ht="15.75" hidden="1" x14ac:dyDescent="0.25">
      <c r="B42" s="280" t="s">
        <v>102</v>
      </c>
      <c r="C42" s="280"/>
      <c r="D42" s="280"/>
      <c r="E42" s="281"/>
      <c r="F42" s="281"/>
      <c r="G42" s="281"/>
      <c r="H42" s="281"/>
      <c r="I42" s="281"/>
      <c r="J42" s="281">
        <v>276550.36166633503</v>
      </c>
      <c r="K42" s="281"/>
      <c r="L42" s="281"/>
      <c r="M42" s="282">
        <v>0.45791184139155844</v>
      </c>
      <c r="N42" s="281">
        <v>430252.45635520399</v>
      </c>
      <c r="O42" s="282">
        <v>0.4595825554622493</v>
      </c>
      <c r="P42" s="282">
        <v>0.18277465695918402</v>
      </c>
      <c r="Q42" s="282">
        <v>0.55578337978930015</v>
      </c>
      <c r="R42" s="281">
        <v>153702.09468886897</v>
      </c>
      <c r="S42" s="291"/>
      <c r="T42" s="291"/>
      <c r="AE42" s="1" t="s">
        <v>180</v>
      </c>
    </row>
    <row r="43" spans="2:31" s="4" customFormat="1" hidden="1" x14ac:dyDescent="0.25">
      <c r="B43" s="283" t="s">
        <v>105</v>
      </c>
      <c r="C43" s="292"/>
      <c r="D43" s="292"/>
      <c r="E43" s="284"/>
      <c r="F43" s="284"/>
      <c r="G43" s="284"/>
      <c r="H43" s="284"/>
      <c r="I43" s="284"/>
      <c r="J43" s="284">
        <v>327387.63833385095</v>
      </c>
      <c r="K43" s="284"/>
      <c r="L43" s="284"/>
      <c r="M43" s="287">
        <v>0.54208815860874948</v>
      </c>
      <c r="N43" s="284">
        <v>505927.5436448183</v>
      </c>
      <c r="O43" s="287">
        <v>0.54041637636826456</v>
      </c>
      <c r="P43" s="287">
        <v>0.21492203442423372</v>
      </c>
      <c r="Q43" s="285">
        <v>0.54534711884540576</v>
      </c>
      <c r="R43" s="286">
        <v>178539.90531096736</v>
      </c>
      <c r="S43" s="293"/>
      <c r="T43" s="293"/>
      <c r="AE43" s="1" t="s">
        <v>181</v>
      </c>
    </row>
    <row r="44" spans="2:31" s="4" customFormat="1" hidden="1" x14ac:dyDescent="0.25">
      <c r="B44" s="288" t="s">
        <v>182</v>
      </c>
      <c r="C44" s="288"/>
      <c r="D44" s="288"/>
      <c r="E44" s="37"/>
      <c r="F44" s="37"/>
      <c r="G44" s="37"/>
      <c r="H44" s="37"/>
      <c r="I44" s="37"/>
      <c r="J44" s="37">
        <v>242109.12821622068</v>
      </c>
      <c r="K44" s="37"/>
      <c r="L44" s="37"/>
      <c r="M44" s="39">
        <v>0.4008840778626625</v>
      </c>
      <c r="N44" s="37">
        <v>391384.01224089495</v>
      </c>
      <c r="O44" s="39">
        <v>0.41806446855992052</v>
      </c>
      <c r="P44" s="39">
        <v>0.16626303352834634</v>
      </c>
      <c r="Q44" s="27">
        <v>0.61656033014732592</v>
      </c>
      <c r="R44" s="25">
        <v>149274.88402467428</v>
      </c>
      <c r="S44" s="25"/>
      <c r="T44" s="25"/>
      <c r="AE44" s="1" t="s">
        <v>183</v>
      </c>
    </row>
    <row r="45" spans="2:31" s="4" customFormat="1" hidden="1" x14ac:dyDescent="0.25">
      <c r="B45" s="288" t="s">
        <v>184</v>
      </c>
      <c r="C45" s="288"/>
      <c r="D45" s="288"/>
      <c r="E45" s="37"/>
      <c r="F45" s="37"/>
      <c r="G45" s="37"/>
      <c r="H45" s="37"/>
      <c r="I45" s="37"/>
      <c r="J45" s="37">
        <v>85278.510117630256</v>
      </c>
      <c r="K45" s="37"/>
      <c r="L45" s="37"/>
      <c r="M45" s="39">
        <v>0.14120408074608695</v>
      </c>
      <c r="N45" s="37">
        <v>114543.53140392336</v>
      </c>
      <c r="O45" s="39">
        <v>0.12235190780834407</v>
      </c>
      <c r="P45" s="39">
        <v>4.8659000895887379E-2</v>
      </c>
      <c r="Q45" s="27">
        <v>0.34316994100771625</v>
      </c>
      <c r="R45" s="25">
        <v>29265.021286293108</v>
      </c>
      <c r="S45" s="25"/>
      <c r="T45" s="25"/>
      <c r="AE45" s="1" t="s">
        <v>185</v>
      </c>
    </row>
    <row r="46" spans="2:31" s="4" customFormat="1" ht="7.5" hidden="1" customHeight="1" x14ac:dyDescent="0.25">
      <c r="B46" s="289"/>
      <c r="C46" s="289"/>
      <c r="D46" s="289"/>
      <c r="E46" s="289"/>
      <c r="F46" s="289"/>
      <c r="G46" s="289"/>
      <c r="H46" s="289"/>
      <c r="I46" s="289"/>
      <c r="J46" s="289"/>
      <c r="K46" s="289"/>
      <c r="L46" s="289"/>
      <c r="M46" s="289"/>
      <c r="N46" s="289"/>
      <c r="O46" s="289"/>
      <c r="P46" s="289"/>
      <c r="Q46" s="289"/>
      <c r="R46" s="289"/>
      <c r="AE46" s="1" t="s">
        <v>186</v>
      </c>
    </row>
    <row r="47" spans="2:31" s="4" customFormat="1" hidden="1" x14ac:dyDescent="0.25">
      <c r="B47" s="66" t="s">
        <v>187</v>
      </c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294"/>
      <c r="T47" s="294"/>
      <c r="AE47" s="1" t="s">
        <v>188</v>
      </c>
    </row>
    <row r="48" spans="2:31" s="4" customFormat="1" hidden="1" x14ac:dyDescent="0.25">
      <c r="AE48" s="1"/>
    </row>
    <row r="49" spans="5:12" hidden="1" x14ac:dyDescent="0.25">
      <c r="E49" s="153"/>
      <c r="F49" s="153"/>
      <c r="G49" s="153"/>
      <c r="H49" s="153"/>
      <c r="I49" s="153"/>
      <c r="J49" s="153">
        <v>0.54208815860874948</v>
      </c>
      <c r="K49" s="153"/>
      <c r="L49" s="153"/>
    </row>
    <row r="50" spans="5:12" hidden="1" x14ac:dyDescent="0.25"/>
    <row r="51" spans="5:12" hidden="1" x14ac:dyDescent="0.25"/>
    <row r="52" spans="5:12" hidden="1" x14ac:dyDescent="0.25"/>
    <row r="53" spans="5:12" hidden="1" x14ac:dyDescent="0.25"/>
    <row r="54" spans="5:12" hidden="1" x14ac:dyDescent="0.25"/>
    <row r="55" spans="5:12" hidden="1" x14ac:dyDescent="0.25"/>
    <row r="56" spans="5:12" hidden="1" x14ac:dyDescent="0.25"/>
    <row r="57" spans="5:12" hidden="1" x14ac:dyDescent="0.25"/>
    <row r="58" spans="5:12" hidden="1" x14ac:dyDescent="0.25"/>
    <row r="59" spans="5:12" hidden="1" x14ac:dyDescent="0.25"/>
    <row r="60" spans="5:12" hidden="1" x14ac:dyDescent="0.25"/>
    <row r="61" spans="5:12" hidden="1" x14ac:dyDescent="0.25"/>
    <row r="62" spans="5:12" hidden="1" x14ac:dyDescent="0.25"/>
    <row r="63" spans="5:12" hidden="1" x14ac:dyDescent="0.25"/>
    <row r="64" spans="5:12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spans="2:31" hidden="1" x14ac:dyDescent="0.25"/>
    <row r="114" spans="2:31" hidden="1" x14ac:dyDescent="0.25"/>
    <row r="115" spans="2:31" hidden="1" x14ac:dyDescent="0.25"/>
    <row r="116" spans="2:31" hidden="1" x14ac:dyDescent="0.25"/>
    <row r="120" spans="2:31" x14ac:dyDescent="0.25">
      <c r="Z120" s="1"/>
      <c r="AE120"/>
    </row>
    <row r="121" spans="2:31" ht="21.75" thickBot="1" x14ac:dyDescent="0.3">
      <c r="B121" s="85" t="s">
        <v>314</v>
      </c>
      <c r="C121" s="85"/>
      <c r="D121" s="85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Z121" s="1"/>
      <c r="AE121"/>
    </row>
    <row r="122" spans="2:31" x14ac:dyDescent="0.25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Z122" s="1"/>
      <c r="AE122"/>
    </row>
    <row r="123" spans="2:31" ht="30" x14ac:dyDescent="0.25">
      <c r="B123" s="4"/>
      <c r="C123" s="218">
        <v>2020</v>
      </c>
      <c r="D123" s="218">
        <v>2021</v>
      </c>
      <c r="E123" s="218">
        <v>2022</v>
      </c>
      <c r="F123" s="218">
        <v>2023</v>
      </c>
      <c r="G123" s="206" t="str">
        <f>CONCATENATE("var. ",RIGHT(F123,2),"/",RIGHT(E123,2))</f>
        <v>var. 23/22</v>
      </c>
      <c r="H123" s="206" t="str">
        <f>CONCATENATE("dif. ",RIGHT(F123,2),"/",RIGHT(E123,2))</f>
        <v>dif. 23/22</v>
      </c>
      <c r="I123" s="206" t="str">
        <f>CONCATENATE("%/s total España ",RIGHT(F123,4))</f>
        <v>%/s total España 2023</v>
      </c>
      <c r="J123" s="218">
        <v>2024</v>
      </c>
      <c r="K123" s="206" t="str">
        <f>CONCATENATE("%/s total España ",RIGHT(J123,4))</f>
        <v>%/s total España 2024</v>
      </c>
      <c r="L123" s="206" t="str">
        <f>CONCATENATE("var. ",RIGHT(J123,2),"/",RIGHT(F123,2))</f>
        <v>var. 24/23</v>
      </c>
      <c r="M123" s="206" t="str">
        <f>CONCATENATE("dif. ",RIGHT(J123,2),"/",RIGHT(F123,2))</f>
        <v>dif. 24/23</v>
      </c>
      <c r="N123" s="206" t="str">
        <f>CONCATENATE("var. ",RIGHT(J123,2),"/",RIGHT(D123,2))</f>
        <v>var. 24/21</v>
      </c>
      <c r="O123" s="206" t="str">
        <f>CONCATENATE("dif. ",RIGHT(J123,2),"/",RIGHT(D123,2))</f>
        <v>dif. 24/21</v>
      </c>
      <c r="Z123" s="1"/>
      <c r="AE123"/>
    </row>
    <row r="124" spans="2:31" ht="18.75" x14ac:dyDescent="0.3">
      <c r="B124" s="277" t="s">
        <v>177</v>
      </c>
      <c r="C124" s="278">
        <v>96681</v>
      </c>
      <c r="D124" s="278">
        <v>140346</v>
      </c>
      <c r="E124" s="278">
        <v>257117</v>
      </c>
      <c r="F124" s="278">
        <v>278594</v>
      </c>
      <c r="G124" s="279">
        <f t="shared" ref="G124:G129" si="8">F124/E124-1</f>
        <v>8.3530066078866927E-2</v>
      </c>
      <c r="H124" s="278">
        <f t="shared" ref="H124:H129" si="9">F124-E124</f>
        <v>21477</v>
      </c>
      <c r="I124" s="279"/>
      <c r="J124" s="278">
        <v>287810</v>
      </c>
      <c r="K124" s="279"/>
      <c r="L124" s="279">
        <f t="shared" ref="L124:L129" si="10">J124/F124-1</f>
        <v>3.3080396562739978E-2</v>
      </c>
      <c r="M124" s="278">
        <f t="shared" ref="M124:M129" si="11">J124-F124</f>
        <v>9216</v>
      </c>
      <c r="N124" s="279">
        <f t="shared" ref="N124:N129" si="12">J124/D124-1</f>
        <v>1.050717512433557</v>
      </c>
      <c r="O124" s="278">
        <f t="shared" ref="O124:O129" si="13">J124-D124</f>
        <v>147464</v>
      </c>
      <c r="Z124" s="1"/>
      <c r="AE124"/>
    </row>
    <row r="125" spans="2:31" ht="18.75" x14ac:dyDescent="0.3">
      <c r="B125" s="277" t="s">
        <v>178</v>
      </c>
      <c r="C125" s="278">
        <v>26839</v>
      </c>
      <c r="D125" s="278">
        <v>45216</v>
      </c>
      <c r="E125" s="278">
        <v>29061</v>
      </c>
      <c r="F125" s="278">
        <v>32018</v>
      </c>
      <c r="G125" s="279">
        <f t="shared" si="8"/>
        <v>0.10175148824885594</v>
      </c>
      <c r="H125" s="278">
        <f t="shared" si="9"/>
        <v>2957</v>
      </c>
      <c r="I125" s="279">
        <f>F125/$F$7</f>
        <v>1.2094130089899524</v>
      </c>
      <c r="J125" s="278">
        <v>29188</v>
      </c>
      <c r="K125" s="279">
        <f>J125/$J$125</f>
        <v>1</v>
      </c>
      <c r="L125" s="279">
        <f t="shared" si="10"/>
        <v>-8.838778187269658E-2</v>
      </c>
      <c r="M125" s="278">
        <f t="shared" si="11"/>
        <v>-2830</v>
      </c>
      <c r="N125" s="279">
        <f t="shared" si="12"/>
        <v>-0.35447629157820237</v>
      </c>
      <c r="O125" s="278">
        <f t="shared" si="13"/>
        <v>-16028</v>
      </c>
      <c r="Z125" s="1"/>
      <c r="AE125"/>
    </row>
    <row r="126" spans="2:31" ht="15.75" x14ac:dyDescent="0.25">
      <c r="B126" s="280" t="s">
        <v>102</v>
      </c>
      <c r="C126" s="281">
        <v>6781</v>
      </c>
      <c r="D126" s="281">
        <v>11021</v>
      </c>
      <c r="E126" s="281">
        <v>9118</v>
      </c>
      <c r="F126" s="281">
        <v>11280</v>
      </c>
      <c r="G126" s="282">
        <f t="shared" si="8"/>
        <v>0.23711340206185572</v>
      </c>
      <c r="H126" s="281">
        <f t="shared" si="9"/>
        <v>2162</v>
      </c>
      <c r="I126" s="282">
        <f>F126/$F$7</f>
        <v>0.4260784165596434</v>
      </c>
      <c r="J126" s="281">
        <v>10812</v>
      </c>
      <c r="K126" s="282">
        <f>J126/$J$125</f>
        <v>0.37042620254899272</v>
      </c>
      <c r="L126" s="282">
        <f t="shared" si="10"/>
        <v>-4.1489361702127692E-2</v>
      </c>
      <c r="M126" s="281">
        <f t="shared" si="11"/>
        <v>-468</v>
      </c>
      <c r="N126" s="282">
        <f t="shared" si="12"/>
        <v>-1.8963796388712484E-2</v>
      </c>
      <c r="O126" s="281">
        <f t="shared" si="13"/>
        <v>-209</v>
      </c>
      <c r="Z126" s="1"/>
      <c r="AE126"/>
    </row>
    <row r="127" spans="2:31" x14ac:dyDescent="0.25">
      <c r="B127" s="283" t="s">
        <v>105</v>
      </c>
      <c r="C127" s="284">
        <v>20058</v>
      </c>
      <c r="D127" s="284">
        <v>34195</v>
      </c>
      <c r="E127" s="284">
        <v>19943</v>
      </c>
      <c r="F127" s="284">
        <v>20738</v>
      </c>
      <c r="G127" s="285">
        <f t="shared" si="8"/>
        <v>3.9863611292182632E-2</v>
      </c>
      <c r="H127" s="286">
        <f t="shared" si="9"/>
        <v>795</v>
      </c>
      <c r="I127" s="287">
        <f>F127/$F$7</f>
        <v>0.78333459243030901</v>
      </c>
      <c r="J127" s="284">
        <v>18376</v>
      </c>
      <c r="K127" s="287">
        <f>J127/$J$125</f>
        <v>0.62957379745100728</v>
      </c>
      <c r="L127" s="285">
        <f t="shared" si="10"/>
        <v>-0.1138971935577201</v>
      </c>
      <c r="M127" s="286">
        <f t="shared" si="11"/>
        <v>-2362</v>
      </c>
      <c r="N127" s="285">
        <f t="shared" si="12"/>
        <v>-0.46261149290831993</v>
      </c>
      <c r="O127" s="286">
        <f t="shared" si="13"/>
        <v>-15819</v>
      </c>
      <c r="Z127" s="1"/>
      <c r="AE127"/>
    </row>
    <row r="128" spans="2:31" x14ac:dyDescent="0.25">
      <c r="B128" s="288" t="s">
        <v>182</v>
      </c>
      <c r="C128" s="37">
        <v>19550</v>
      </c>
      <c r="D128" s="37">
        <v>22992</v>
      </c>
      <c r="E128" s="37">
        <v>14901</v>
      </c>
      <c r="F128" s="37">
        <v>18512</v>
      </c>
      <c r="G128" s="27">
        <f t="shared" si="8"/>
        <v>0.24233272934702366</v>
      </c>
      <c r="H128" s="25">
        <f t="shared" si="9"/>
        <v>3611</v>
      </c>
      <c r="I128" s="39">
        <f>F128/$F$7</f>
        <v>0.69925209639646446</v>
      </c>
      <c r="J128" s="37">
        <v>14724</v>
      </c>
      <c r="K128" s="39">
        <f>J128/$J$125</f>
        <v>0.50445388515828427</v>
      </c>
      <c r="L128" s="27">
        <f t="shared" si="10"/>
        <v>-0.20462402765773557</v>
      </c>
      <c r="M128" s="25">
        <f t="shared" si="11"/>
        <v>-3788</v>
      </c>
      <c r="N128" s="27">
        <f t="shared" si="12"/>
        <v>-0.35960334029227559</v>
      </c>
      <c r="O128" s="25">
        <f t="shared" si="13"/>
        <v>-8268</v>
      </c>
      <c r="Z128" s="1"/>
      <c r="AE128"/>
    </row>
    <row r="129" spans="2:31" x14ac:dyDescent="0.25">
      <c r="B129" s="288" t="s">
        <v>184</v>
      </c>
      <c r="C129" s="37">
        <f>C127-C128</f>
        <v>508</v>
      </c>
      <c r="D129" s="37">
        <f>D127-D128</f>
        <v>11203</v>
      </c>
      <c r="E129" s="37">
        <f>E127-E128</f>
        <v>5042</v>
      </c>
      <c r="F129" s="37">
        <f>F127-F128</f>
        <v>2226</v>
      </c>
      <c r="G129" s="27">
        <f t="shared" si="8"/>
        <v>-0.55850852836176124</v>
      </c>
      <c r="H129" s="25">
        <f t="shared" si="9"/>
        <v>-2816</v>
      </c>
      <c r="I129" s="39">
        <f>F129/$F$7</f>
        <v>8.4082496033844531E-2</v>
      </c>
      <c r="J129" s="37">
        <f>J127-J128</f>
        <v>3652</v>
      </c>
      <c r="K129" s="39">
        <f>J129/$J$125</f>
        <v>0.12511991229272304</v>
      </c>
      <c r="L129" s="27">
        <f t="shared" si="10"/>
        <v>0.6406109613656783</v>
      </c>
      <c r="M129" s="25">
        <f t="shared" si="11"/>
        <v>1426</v>
      </c>
      <c r="N129" s="27">
        <f t="shared" si="12"/>
        <v>-0.67401588860126749</v>
      </c>
      <c r="O129" s="25">
        <f t="shared" si="13"/>
        <v>-7551</v>
      </c>
      <c r="Z129" s="1"/>
      <c r="AE129"/>
    </row>
    <row r="130" spans="2:31" x14ac:dyDescent="0.25">
      <c r="B130" s="289"/>
      <c r="C130" s="289"/>
      <c r="D130" s="289"/>
      <c r="E130" s="289"/>
      <c r="F130" s="289"/>
      <c r="G130" s="289"/>
      <c r="H130" s="289"/>
      <c r="I130" s="289"/>
      <c r="J130" s="289"/>
      <c r="K130" s="289"/>
      <c r="L130" s="289"/>
      <c r="M130" s="289"/>
      <c r="N130" s="289"/>
      <c r="O130" s="289"/>
      <c r="Z130" s="1"/>
      <c r="AE130"/>
    </row>
    <row r="131" spans="2:31" x14ac:dyDescent="0.25">
      <c r="B131" s="202" t="s">
        <v>187</v>
      </c>
      <c r="C131" s="202"/>
      <c r="D131" s="202"/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Z131" s="1"/>
      <c r="AE131"/>
    </row>
  </sheetData>
  <mergeCells count="2">
    <mergeCell ref="B37:R37"/>
    <mergeCell ref="B47:R47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DE037-CCA2-4222-9187-46808A256D5B}">
  <sheetPr>
    <tabColor rgb="FF336600"/>
  </sheetPr>
  <dimension ref="A3:A23"/>
  <sheetViews>
    <sheetView showGridLines="0" workbookViewId="0">
      <selection activeCell="G10" sqref="G10"/>
    </sheetView>
  </sheetViews>
  <sheetFormatPr baseColWidth="10" defaultRowHeight="15" x14ac:dyDescent="0.25"/>
  <sheetData>
    <row r="3" ht="15" customHeight="1" x14ac:dyDescent="0.25"/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</sheetData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A3985-1342-48AC-BE2A-2251EC5A080F}">
  <sheetPr>
    <tabColor theme="4" tint="0.39997558519241921"/>
  </sheetPr>
  <dimension ref="A1:AE142"/>
  <sheetViews>
    <sheetView showGridLines="0" zoomScaleNormal="100" workbookViewId="0">
      <selection activeCell="G10" sqref="G10"/>
    </sheetView>
  </sheetViews>
  <sheetFormatPr baseColWidth="10" defaultRowHeight="15" x14ac:dyDescent="0.25"/>
  <cols>
    <col min="1" max="1" width="17.7109375" customWidth="1"/>
    <col min="2" max="2" width="33.5703125" customWidth="1"/>
    <col min="3" max="20" width="12.42578125" customWidth="1"/>
    <col min="27" max="27" width="14" hidden="1" customWidth="1"/>
    <col min="31" max="31" width="11.42578125" style="1"/>
  </cols>
  <sheetData>
    <row r="1" spans="1:31" ht="30" customHeight="1" x14ac:dyDescent="0.25">
      <c r="B1" s="1" t="s">
        <v>194</v>
      </c>
      <c r="G1" s="276"/>
      <c r="H1" s="276"/>
      <c r="I1" s="276"/>
      <c r="K1" s="276"/>
    </row>
    <row r="3" spans="1:31" s="4" customFormat="1" ht="25.5" customHeight="1" thickBot="1" x14ac:dyDescent="0.3">
      <c r="B3" s="85" t="s">
        <v>315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AE3" s="1"/>
    </row>
    <row r="4" spans="1:31" s="4" customFormat="1" ht="6" customHeight="1" x14ac:dyDescent="0.25">
      <c r="AE4" s="1"/>
    </row>
    <row r="5" spans="1:31" s="4" customFormat="1" ht="45" x14ac:dyDescent="0.25">
      <c r="C5" s="295" t="s">
        <v>265</v>
      </c>
      <c r="D5" s="295" t="s">
        <v>266</v>
      </c>
      <c r="E5" s="295" t="s">
        <v>267</v>
      </c>
      <c r="F5" s="296" t="str">
        <f>CONCATENATE("%/s total Tenerife ",RIGHT(E5,4))</f>
        <v>%/s total Tenerife 2022</v>
      </c>
      <c r="G5" s="295" t="s">
        <v>268</v>
      </c>
      <c r="H5" s="296" t="str">
        <f>CONCATENATE("var. ",RIGHT(G5,2),"/",RIGHT(E5,2))</f>
        <v>var. 23/22</v>
      </c>
      <c r="I5" s="296" t="str">
        <f>CONCATENATE("dif. ",RIGHT(G5,2),"/",RIGHT(E5,2))</f>
        <v>dif. 23/22</v>
      </c>
      <c r="J5" s="296" t="str">
        <f>CONCATENATE("%/s total Tenerife ",RIGHT(G5,4))</f>
        <v>%/s total Tenerife 2023</v>
      </c>
      <c r="K5" s="295" t="s">
        <v>269</v>
      </c>
      <c r="L5" s="296" t="str">
        <f>CONCATENATE("var. ",RIGHT(K5,2),"/",RIGHT(G5,2))</f>
        <v>var. 24/23</v>
      </c>
      <c r="M5" s="296" t="str">
        <f>CONCATENATE("dif. ",RIGHT(K5,2),"/",RIGHT(G5,2))</f>
        <v>dif. 24/23</v>
      </c>
      <c r="N5" s="296" t="str">
        <f>CONCATENATE("%/s total Tenerife ",RIGHT(K5,4))</f>
        <v>%/s total Tenerife 2024</v>
      </c>
      <c r="O5" s="295" t="s">
        <v>270</v>
      </c>
      <c r="P5" s="296" t="str">
        <f>CONCATENATE("var. ",RIGHT(O5,2),"/",RIGHT(K5,2))</f>
        <v>var. 25/24</v>
      </c>
      <c r="Q5" s="296" t="str">
        <f>CONCATENATE("dif. ",RIGHT(O5,2),"/",RIGHT(K5,2))</f>
        <v>dif. 25/24</v>
      </c>
      <c r="R5" s="296" t="str">
        <f>CONCATENATE("var. ",RIGHT(O5,2),"/",RIGHT(C5,2))</f>
        <v>var. 25/20</v>
      </c>
      <c r="S5" s="296" t="str">
        <f>CONCATENATE("dif. ",RIGHT(O5,2),"/",RIGHT(C5,2))</f>
        <v>dif. 25/20</v>
      </c>
      <c r="T5" s="296" t="str">
        <f>CONCATENATE("%/s total Tenerife ",RIGHT(O5,4))</f>
        <v>%/s total Tenerife 2025</v>
      </c>
      <c r="AE5" s="1"/>
    </row>
    <row r="6" spans="1:31" ht="18.75" x14ac:dyDescent="0.3">
      <c r="A6" s="4"/>
      <c r="B6" s="277" t="s">
        <v>195</v>
      </c>
      <c r="C6" s="297">
        <v>14652</v>
      </c>
      <c r="D6" s="297">
        <v>37616</v>
      </c>
      <c r="E6" s="297">
        <v>24500</v>
      </c>
      <c r="F6" s="298">
        <f>E6/$E$6</f>
        <v>1</v>
      </c>
      <c r="G6" s="297">
        <v>26474</v>
      </c>
      <c r="H6" s="298">
        <f>G6/E6-1</f>
        <v>8.0571428571428516E-2</v>
      </c>
      <c r="I6" s="297">
        <f>G6-E6</f>
        <v>1974</v>
      </c>
      <c r="J6" s="298">
        <f>G6/$G$6</f>
        <v>1</v>
      </c>
      <c r="K6" s="297">
        <v>22996</v>
      </c>
      <c r="L6" s="298">
        <f t="shared" ref="L6:L12" si="0">K6/G6-1</f>
        <v>-0.13137417843922339</v>
      </c>
      <c r="M6" s="297">
        <f t="shared" ref="M6:M12" si="1">K6-G6</f>
        <v>-3478</v>
      </c>
      <c r="N6" s="298">
        <f>K6/$K$6</f>
        <v>1</v>
      </c>
      <c r="O6" s="297">
        <v>26539</v>
      </c>
      <c r="P6" s="298">
        <f t="shared" ref="P6:P11" si="2">O6/K6-1</f>
        <v>0.15407027309097243</v>
      </c>
      <c r="Q6" s="297">
        <f t="shared" ref="Q6:Q12" si="3">O6-K6</f>
        <v>3543</v>
      </c>
      <c r="R6" s="298">
        <f>O6/C6-1</f>
        <v>0.81128856128856119</v>
      </c>
      <c r="S6" s="297">
        <f>O6-C6</f>
        <v>11887</v>
      </c>
      <c r="T6" s="298">
        <f>O6/$O$6</f>
        <v>1</v>
      </c>
      <c r="V6" s="37"/>
      <c r="W6" s="103"/>
      <c r="AE6" s="1" t="s">
        <v>179</v>
      </c>
    </row>
    <row r="7" spans="1:31" s="4" customFormat="1" x14ac:dyDescent="0.25">
      <c r="B7" s="299" t="s">
        <v>196</v>
      </c>
      <c r="C7" s="300">
        <v>11787</v>
      </c>
      <c r="D7" s="300">
        <v>31570</v>
      </c>
      <c r="E7" s="300">
        <v>17845</v>
      </c>
      <c r="F7" s="301">
        <f t="shared" ref="F7:F12" si="4">E7/$E$6</f>
        <v>0.72836734693877547</v>
      </c>
      <c r="G7" s="300">
        <v>18970</v>
      </c>
      <c r="H7" s="302">
        <f>G7/E7-1</f>
        <v>6.3042869151022751E-2</v>
      </c>
      <c r="I7" s="303">
        <f>G7-E7</f>
        <v>1125</v>
      </c>
      <c r="J7" s="301">
        <f>G7/$G$6</f>
        <v>0.7165520888418826</v>
      </c>
      <c r="K7" s="300">
        <v>16443</v>
      </c>
      <c r="L7" s="304">
        <f t="shared" si="0"/>
        <v>-0.13321033210332101</v>
      </c>
      <c r="M7" s="305">
        <f t="shared" si="1"/>
        <v>-2527</v>
      </c>
      <c r="N7" s="301">
        <f>K7/$K$6</f>
        <v>0.71503739780831443</v>
      </c>
      <c r="O7" s="300">
        <v>18906</v>
      </c>
      <c r="P7" s="302">
        <f t="shared" si="2"/>
        <v>0.14979018427294299</v>
      </c>
      <c r="Q7" s="303">
        <f t="shared" si="3"/>
        <v>2463</v>
      </c>
      <c r="R7" s="302">
        <f t="shared" ref="R7:R10" si="5">O7/C7-1</f>
        <v>0.6039704759480784</v>
      </c>
      <c r="S7" s="303">
        <f t="shared" ref="S7:S10" si="6">O7-C7</f>
        <v>7119</v>
      </c>
      <c r="T7" s="301">
        <f>O7/$O$6</f>
        <v>0.71238554580051994</v>
      </c>
      <c r="V7" s="37"/>
      <c r="W7" s="103"/>
      <c r="AE7" s="1" t="s">
        <v>181</v>
      </c>
    </row>
    <row r="8" spans="1:31" s="4" customFormat="1" x14ac:dyDescent="0.25">
      <c r="B8" s="123" t="s">
        <v>64</v>
      </c>
      <c r="C8" s="306">
        <v>2454</v>
      </c>
      <c r="D8" s="306">
        <v>4622</v>
      </c>
      <c r="E8" s="306">
        <v>4456</v>
      </c>
      <c r="F8" s="307">
        <f t="shared" si="4"/>
        <v>0.18187755102040817</v>
      </c>
      <c r="G8" s="306">
        <v>5848</v>
      </c>
      <c r="H8" s="308">
        <f>IFERROR(G8/E8-1,"-")</f>
        <v>0.31238779174147213</v>
      </c>
      <c r="I8" s="309">
        <f t="shared" ref="I8:I12" si="7">G8-E8</f>
        <v>1392</v>
      </c>
      <c r="J8" s="307">
        <f t="shared" ref="J8:J12" si="8">G8/$G$6</f>
        <v>0.22089597340787187</v>
      </c>
      <c r="K8" s="306">
        <v>6251</v>
      </c>
      <c r="L8" s="310">
        <f>IFERROR(K8/G8-1,"-")</f>
        <v>6.8912448700410467E-2</v>
      </c>
      <c r="M8" s="311">
        <f>IF(G8=0,"nd",K8-G8)</f>
        <v>403</v>
      </c>
      <c r="N8" s="312">
        <f t="shared" ref="N8:N12" si="9">K8/$K$6</f>
        <v>0.27182988345799269</v>
      </c>
      <c r="O8" s="306">
        <v>2639</v>
      </c>
      <c r="P8" s="310">
        <f>IFERROR(O8/K8-1,"-")</f>
        <v>-0.57782754759238519</v>
      </c>
      <c r="Q8" s="313">
        <f t="shared" si="3"/>
        <v>-3612</v>
      </c>
      <c r="R8" s="310">
        <f>IFERROR(O8/C8-1,"-")</f>
        <v>7.5387123064384776E-2</v>
      </c>
      <c r="S8" s="313">
        <f t="shared" si="6"/>
        <v>185</v>
      </c>
      <c r="T8" s="312">
        <f t="shared" ref="T8:T12" si="10">O8/$O$6</f>
        <v>9.9438562116130974E-2</v>
      </c>
      <c r="V8" s="37"/>
      <c r="W8" s="103"/>
      <c r="AE8" s="1"/>
    </row>
    <row r="9" spans="1:31" s="4" customFormat="1" x14ac:dyDescent="0.25">
      <c r="B9" s="123" t="s">
        <v>63</v>
      </c>
      <c r="C9" s="306">
        <v>6197</v>
      </c>
      <c r="D9" s="306">
        <v>10309</v>
      </c>
      <c r="E9" s="306">
        <v>13389</v>
      </c>
      <c r="F9" s="312">
        <f t="shared" si="4"/>
        <v>0.54648979591836733</v>
      </c>
      <c r="G9" s="306">
        <v>13122</v>
      </c>
      <c r="H9" s="308">
        <f>IFERROR(G9/E9-1,"-")</f>
        <v>-1.9941743222048003E-2</v>
      </c>
      <c r="I9" s="313">
        <f t="shared" si="7"/>
        <v>-267</v>
      </c>
      <c r="J9" s="312">
        <f t="shared" si="8"/>
        <v>0.49565611543401072</v>
      </c>
      <c r="K9" s="306">
        <v>10192</v>
      </c>
      <c r="L9" s="310">
        <f>IFERROR(K9/G9-1,"-")</f>
        <v>-0.2232891327541533</v>
      </c>
      <c r="M9" s="311">
        <f>IF(G9=0,"nd",K9-G9)</f>
        <v>-2930</v>
      </c>
      <c r="N9" s="312">
        <f t="shared" si="9"/>
        <v>0.4432075143503218</v>
      </c>
      <c r="O9" s="306">
        <v>16267</v>
      </c>
      <c r="P9" s="310">
        <f t="shared" si="2"/>
        <v>0.59605572998430145</v>
      </c>
      <c r="Q9" s="313">
        <f t="shared" si="3"/>
        <v>6075</v>
      </c>
      <c r="R9" s="314">
        <f t="shared" si="5"/>
        <v>1.6249798289494919</v>
      </c>
      <c r="S9" s="313">
        <f t="shared" si="6"/>
        <v>10070</v>
      </c>
      <c r="T9" s="312">
        <f t="shared" si="10"/>
        <v>0.61294698368438905</v>
      </c>
      <c r="V9" s="37"/>
      <c r="W9" s="103"/>
      <c r="AE9" s="1"/>
    </row>
    <row r="10" spans="1:31" s="4" customFormat="1" x14ac:dyDescent="0.25">
      <c r="B10" s="299" t="s">
        <v>197</v>
      </c>
      <c r="C10" s="315">
        <v>2865</v>
      </c>
      <c r="D10" s="315">
        <v>6046</v>
      </c>
      <c r="E10" s="315">
        <v>6655</v>
      </c>
      <c r="F10" s="316">
        <f>IFERROR(E10/$E$6,"-")</f>
        <v>0.27163265306122447</v>
      </c>
      <c r="G10" s="315">
        <v>7504</v>
      </c>
      <c r="H10" s="304">
        <f>IFERROR(G10/E10-1,"-")</f>
        <v>0.12757325319308799</v>
      </c>
      <c r="I10" s="305">
        <f>IFERROR(G10-E10,"-")</f>
        <v>849</v>
      </c>
      <c r="J10" s="316">
        <f>IFERROR(G10/$G$6,"-")</f>
        <v>0.2834479111581174</v>
      </c>
      <c r="K10" s="315">
        <v>6553</v>
      </c>
      <c r="L10" s="304">
        <f>IFERROR(K10/G10-1,"-")</f>
        <v>-0.12673240938166308</v>
      </c>
      <c r="M10" s="305">
        <f>IFERROR(K10-G10,"-")</f>
        <v>-951</v>
      </c>
      <c r="N10" s="316">
        <f>IFERROR(K10/$K$6,"-")</f>
        <v>0.28496260219168551</v>
      </c>
      <c r="O10" s="315">
        <v>7633</v>
      </c>
      <c r="P10" s="304">
        <f>IFERROR(O10/K10-1,"-")</f>
        <v>0.16481001068213041</v>
      </c>
      <c r="Q10" s="305">
        <f>IFERROR(O10-K10,"-")</f>
        <v>1080</v>
      </c>
      <c r="R10" s="304">
        <f t="shared" si="5"/>
        <v>1.6642233856893545</v>
      </c>
      <c r="S10" s="305">
        <f t="shared" si="6"/>
        <v>4768</v>
      </c>
      <c r="T10" s="316">
        <f>IFERROR(O10/$O$6,"-")</f>
        <v>0.28761445419948001</v>
      </c>
      <c r="V10" s="37"/>
      <c r="W10" s="103"/>
      <c r="AE10" s="1"/>
    </row>
    <row r="11" spans="1:31" s="4" customFormat="1" hidden="1" x14ac:dyDescent="0.25">
      <c r="B11" s="123" t="s">
        <v>64</v>
      </c>
      <c r="C11" s="306">
        <v>483</v>
      </c>
      <c r="D11" s="306">
        <v>2306</v>
      </c>
      <c r="E11" s="306">
        <v>1907</v>
      </c>
      <c r="F11" s="312">
        <f t="shared" si="4"/>
        <v>7.7836734693877557E-2</v>
      </c>
      <c r="G11" s="306">
        <v>2269</v>
      </c>
      <c r="H11" s="314">
        <f t="shared" ref="H11:H12" si="11">G11/E11-1</f>
        <v>0.18982695332983734</v>
      </c>
      <c r="I11" s="313">
        <f t="shared" si="7"/>
        <v>362</v>
      </c>
      <c r="J11" s="312">
        <f t="shared" si="8"/>
        <v>8.5706731132431824E-2</v>
      </c>
      <c r="K11" s="306">
        <v>1836</v>
      </c>
      <c r="L11" s="310">
        <f>K11/G11-1</f>
        <v>-0.19083296606434552</v>
      </c>
      <c r="M11" s="313">
        <f t="shared" si="1"/>
        <v>-433</v>
      </c>
      <c r="N11" s="312">
        <f t="shared" si="9"/>
        <v>7.9839972169072876E-2</v>
      </c>
      <c r="O11" s="306">
        <v>0</v>
      </c>
      <c r="P11" s="314">
        <f t="shared" si="2"/>
        <v>-1</v>
      </c>
      <c r="Q11" s="313">
        <f t="shared" si="3"/>
        <v>-1836</v>
      </c>
      <c r="R11" s="314">
        <f t="shared" ref="R11:R12" si="12">O11/D11-1</f>
        <v>-1</v>
      </c>
      <c r="S11" s="313">
        <f t="shared" ref="S11:S12" si="13">O11-D11</f>
        <v>-2306</v>
      </c>
      <c r="T11" s="312">
        <f t="shared" si="10"/>
        <v>0</v>
      </c>
      <c r="V11" s="37"/>
      <c r="W11" s="103"/>
      <c r="AE11" s="1"/>
    </row>
    <row r="12" spans="1:31" s="4" customFormat="1" hidden="1" x14ac:dyDescent="0.25">
      <c r="B12" s="123" t="s">
        <v>63</v>
      </c>
      <c r="C12" s="306">
        <v>0</v>
      </c>
      <c r="D12" s="306">
        <v>0</v>
      </c>
      <c r="E12" s="306">
        <v>0</v>
      </c>
      <c r="F12" s="312">
        <f t="shared" si="4"/>
        <v>0</v>
      </c>
      <c r="G12" s="306">
        <v>0</v>
      </c>
      <c r="H12" s="314" t="e">
        <f t="shared" si="11"/>
        <v>#DIV/0!</v>
      </c>
      <c r="I12" s="313">
        <f t="shared" si="7"/>
        <v>0</v>
      </c>
      <c r="J12" s="312">
        <f t="shared" si="8"/>
        <v>0</v>
      </c>
      <c r="K12" s="306">
        <v>0</v>
      </c>
      <c r="L12" s="310" t="e">
        <f t="shared" si="0"/>
        <v>#DIV/0!</v>
      </c>
      <c r="M12" s="313">
        <f t="shared" si="1"/>
        <v>0</v>
      </c>
      <c r="N12" s="312">
        <f t="shared" si="9"/>
        <v>0</v>
      </c>
      <c r="O12" s="306">
        <v>0</v>
      </c>
      <c r="P12" s="314" t="e">
        <f>O12/K12-1</f>
        <v>#DIV/0!</v>
      </c>
      <c r="Q12" s="313">
        <f t="shared" si="3"/>
        <v>0</v>
      </c>
      <c r="R12" s="314" t="e">
        <f t="shared" si="12"/>
        <v>#DIV/0!</v>
      </c>
      <c r="S12" s="313">
        <f t="shared" si="13"/>
        <v>0</v>
      </c>
      <c r="T12" s="312">
        <f t="shared" si="10"/>
        <v>0</v>
      </c>
      <c r="V12" s="37"/>
      <c r="W12" s="103"/>
      <c r="AE12" s="1"/>
    </row>
    <row r="13" spans="1:31" s="4" customFormat="1" ht="7.5" customHeight="1" x14ac:dyDescent="0.25">
      <c r="B13" s="289"/>
      <c r="C13" s="289"/>
      <c r="D13" s="289"/>
      <c r="E13" s="289"/>
      <c r="F13" s="289"/>
      <c r="G13" s="289"/>
      <c r="H13" s="289"/>
      <c r="I13" s="289"/>
      <c r="J13" s="289"/>
      <c r="K13" s="289"/>
      <c r="L13" s="317"/>
      <c r="M13" s="289"/>
      <c r="N13" s="289"/>
      <c r="O13" s="289"/>
      <c r="P13" s="289"/>
      <c r="Q13" s="289"/>
      <c r="R13" s="289"/>
      <c r="S13" s="289"/>
      <c r="T13" s="289"/>
      <c r="AE13" s="1" t="s">
        <v>186</v>
      </c>
    </row>
    <row r="14" spans="1:31" s="4" customFormat="1" x14ac:dyDescent="0.25">
      <c r="B14" s="202" t="s">
        <v>187</v>
      </c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2"/>
      <c r="Q14" s="202"/>
      <c r="R14" s="202"/>
      <c r="S14" s="202"/>
      <c r="T14" s="202"/>
      <c r="AE14" s="1" t="s">
        <v>188</v>
      </c>
    </row>
    <row r="15" spans="1:31" s="4" customFormat="1" x14ac:dyDescent="0.25">
      <c r="AE15" s="1"/>
    </row>
    <row r="18" spans="1:27" x14ac:dyDescent="0.25">
      <c r="A18" t="s">
        <v>198</v>
      </c>
    </row>
    <row r="19" spans="1:27" x14ac:dyDescent="0.25">
      <c r="AA19" t="str">
        <f>CONCATENATE("Hoteles: 
",FIXED(O7,0)," viajeros 
cuota: ",FIXED(T7*100,1),"%")</f>
        <v>Hoteles: 
18.906 viajeros 
cuota: 71,2%</v>
      </c>
    </row>
    <row r="20" spans="1:27" x14ac:dyDescent="0.25">
      <c r="AA20" t="str">
        <f>CONCATENATE("Apartamentos: 
",FIXED(O10,0)," viajeros
cuota: ",FIXED(T10*100,1),"%")</f>
        <v>Apartamentos: 
7.633 viajeros
cuota: 28,8%</v>
      </c>
    </row>
    <row r="38" spans="2:31" s="4" customFormat="1" ht="15.75" hidden="1" customHeight="1" thickBot="1" x14ac:dyDescent="0.3">
      <c r="B38" s="12" t="s">
        <v>189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07"/>
      <c r="AE38" s="1"/>
    </row>
    <row r="39" spans="2:31" s="4" customFormat="1" ht="6" hidden="1" customHeight="1" thickBot="1" x14ac:dyDescent="0.3">
      <c r="AE39" s="1"/>
    </row>
    <row r="40" spans="2:31" s="4" customFormat="1" ht="30" hidden="1" x14ac:dyDescent="0.25">
      <c r="C40" s="112"/>
      <c r="D40" s="112"/>
      <c r="E40" s="112"/>
      <c r="F40" s="112"/>
      <c r="G40" s="112"/>
      <c r="H40" s="112"/>
      <c r="I40" s="112"/>
      <c r="J40" s="112"/>
      <c r="K40" s="15">
        <v>2020</v>
      </c>
      <c r="L40" s="15"/>
      <c r="M40" s="15"/>
      <c r="N40" s="15" t="s">
        <v>190</v>
      </c>
      <c r="O40" s="15">
        <v>2021</v>
      </c>
      <c r="P40" s="15" t="s">
        <v>190</v>
      </c>
      <c r="Q40" s="15" t="s">
        <v>191</v>
      </c>
      <c r="R40" s="15" t="s">
        <v>192</v>
      </c>
      <c r="S40" s="15" t="s">
        <v>193</v>
      </c>
      <c r="T40" s="112"/>
      <c r="AE40" s="1"/>
    </row>
    <row r="41" spans="2:31" s="4" customFormat="1" ht="18.75" hidden="1" x14ac:dyDescent="0.3">
      <c r="B41" s="277" t="s">
        <v>177</v>
      </c>
      <c r="C41" s="278"/>
      <c r="D41" s="278"/>
      <c r="E41" s="278"/>
      <c r="F41" s="278"/>
      <c r="G41" s="278"/>
      <c r="H41" s="278"/>
      <c r="I41" s="278"/>
      <c r="J41" s="278"/>
      <c r="K41" s="278">
        <v>1824653</v>
      </c>
      <c r="L41" s="278"/>
      <c r="M41" s="278"/>
      <c r="N41" s="279"/>
      <c r="O41" s="278">
        <v>2354005</v>
      </c>
      <c r="P41" s="279"/>
      <c r="Q41" s="279">
        <v>1</v>
      </c>
      <c r="R41" s="279">
        <v>0.2901110512519367</v>
      </c>
      <c r="S41" s="278">
        <v>529352</v>
      </c>
      <c r="T41" s="290"/>
      <c r="AE41" s="1"/>
    </row>
    <row r="42" spans="2:31" ht="18.75" hidden="1" x14ac:dyDescent="0.3">
      <c r="B42" s="277" t="s">
        <v>178</v>
      </c>
      <c r="C42" s="278"/>
      <c r="D42" s="278"/>
      <c r="E42" s="278"/>
      <c r="F42" s="278"/>
      <c r="G42" s="278"/>
      <c r="H42" s="278"/>
      <c r="I42" s="278"/>
      <c r="J42" s="278"/>
      <c r="K42" s="278">
        <v>603938</v>
      </c>
      <c r="L42" s="278"/>
      <c r="M42" s="278"/>
      <c r="N42" s="279">
        <v>1</v>
      </c>
      <c r="O42" s="278">
        <v>936181</v>
      </c>
      <c r="P42" s="279">
        <v>1</v>
      </c>
      <c r="Q42" s="279">
        <v>0.39769711619134201</v>
      </c>
      <c r="R42" s="279">
        <v>0.55012766211101138</v>
      </c>
      <c r="S42" s="278">
        <v>332243</v>
      </c>
      <c r="T42" s="290"/>
      <c r="AE42" s="1" t="s">
        <v>179</v>
      </c>
    </row>
    <row r="43" spans="2:31" ht="15.75" hidden="1" x14ac:dyDescent="0.25">
      <c r="B43" s="280" t="s">
        <v>102</v>
      </c>
      <c r="C43" s="281"/>
      <c r="D43" s="281"/>
      <c r="E43" s="281"/>
      <c r="F43" s="281"/>
      <c r="G43" s="281"/>
      <c r="H43" s="281"/>
      <c r="I43" s="281"/>
      <c r="J43" s="281"/>
      <c r="K43" s="281">
        <v>276550.36166633503</v>
      </c>
      <c r="L43" s="281"/>
      <c r="M43" s="281"/>
      <c r="N43" s="282">
        <v>0.45791184139155844</v>
      </c>
      <c r="O43" s="281">
        <v>430252.45635520399</v>
      </c>
      <c r="P43" s="282">
        <v>0.4595825554622493</v>
      </c>
      <c r="Q43" s="282">
        <v>0.18277465695918402</v>
      </c>
      <c r="R43" s="282">
        <v>0.55578337978930015</v>
      </c>
      <c r="S43" s="281">
        <v>153702.09468886897</v>
      </c>
      <c r="T43" s="291"/>
      <c r="AE43" s="1" t="s">
        <v>180</v>
      </c>
    </row>
    <row r="44" spans="2:31" s="4" customFormat="1" hidden="1" x14ac:dyDescent="0.25">
      <c r="B44" s="283" t="s">
        <v>105</v>
      </c>
      <c r="C44" s="284"/>
      <c r="D44" s="284"/>
      <c r="E44" s="284"/>
      <c r="F44" s="284"/>
      <c r="G44" s="284"/>
      <c r="H44" s="284"/>
      <c r="I44" s="284"/>
      <c r="J44" s="284"/>
      <c r="K44" s="284">
        <v>327387.63833385095</v>
      </c>
      <c r="L44" s="284"/>
      <c r="M44" s="284"/>
      <c r="N44" s="287">
        <v>0.54208815860874948</v>
      </c>
      <c r="O44" s="284">
        <v>505927.5436448183</v>
      </c>
      <c r="P44" s="287">
        <v>0.54041637636826456</v>
      </c>
      <c r="Q44" s="287">
        <v>0.21492203442423372</v>
      </c>
      <c r="R44" s="285">
        <v>0.54534711884540576</v>
      </c>
      <c r="S44" s="286">
        <v>178539.90531096736</v>
      </c>
      <c r="T44" s="293"/>
      <c r="AE44" s="1" t="s">
        <v>181</v>
      </c>
    </row>
    <row r="45" spans="2:31" s="4" customFormat="1" hidden="1" x14ac:dyDescent="0.25">
      <c r="B45" s="288" t="s">
        <v>182</v>
      </c>
      <c r="C45" s="37"/>
      <c r="D45" s="37"/>
      <c r="E45" s="37"/>
      <c r="F45" s="37"/>
      <c r="G45" s="37"/>
      <c r="H45" s="37"/>
      <c r="I45" s="37"/>
      <c r="J45" s="37"/>
      <c r="K45" s="37">
        <v>242109.12821622068</v>
      </c>
      <c r="L45" s="37"/>
      <c r="M45" s="37"/>
      <c r="N45" s="39">
        <v>0.4008840778626625</v>
      </c>
      <c r="O45" s="37">
        <v>391384.01224089495</v>
      </c>
      <c r="P45" s="39">
        <v>0.41806446855992052</v>
      </c>
      <c r="Q45" s="39">
        <v>0.16626303352834634</v>
      </c>
      <c r="R45" s="27">
        <v>0.61656033014732592</v>
      </c>
      <c r="S45" s="25">
        <v>149274.88402467428</v>
      </c>
      <c r="T45" s="25"/>
      <c r="AE45" s="1" t="s">
        <v>183</v>
      </c>
    </row>
    <row r="46" spans="2:31" s="4" customFormat="1" hidden="1" x14ac:dyDescent="0.25">
      <c r="B46" s="288" t="s">
        <v>184</v>
      </c>
      <c r="C46" s="37"/>
      <c r="D46" s="37"/>
      <c r="E46" s="37"/>
      <c r="F46" s="37"/>
      <c r="G46" s="37"/>
      <c r="H46" s="37"/>
      <c r="I46" s="37"/>
      <c r="J46" s="37"/>
      <c r="K46" s="37">
        <v>85278.510117630256</v>
      </c>
      <c r="L46" s="37"/>
      <c r="M46" s="37"/>
      <c r="N46" s="39">
        <v>0.14120408074608695</v>
      </c>
      <c r="O46" s="37">
        <v>114543.53140392336</v>
      </c>
      <c r="P46" s="39">
        <v>0.12235190780834407</v>
      </c>
      <c r="Q46" s="39">
        <v>4.8659000895887379E-2</v>
      </c>
      <c r="R46" s="27">
        <v>0.34316994100771625</v>
      </c>
      <c r="S46" s="25">
        <v>29265.021286293108</v>
      </c>
      <c r="T46" s="25"/>
      <c r="AE46" s="1" t="s">
        <v>185</v>
      </c>
    </row>
    <row r="47" spans="2:31" s="4" customFormat="1" ht="7.5" hidden="1" customHeight="1" x14ac:dyDescent="0.25">
      <c r="B47" s="289"/>
      <c r="C47" s="289"/>
      <c r="D47" s="289"/>
      <c r="E47" s="289"/>
      <c r="F47" s="289"/>
      <c r="G47" s="289"/>
      <c r="H47" s="289"/>
      <c r="I47" s="289"/>
      <c r="J47" s="289"/>
      <c r="K47" s="289"/>
      <c r="L47" s="289"/>
      <c r="M47" s="289"/>
      <c r="N47" s="289"/>
      <c r="O47" s="289"/>
      <c r="P47" s="289"/>
      <c r="Q47" s="289"/>
      <c r="R47" s="289"/>
      <c r="S47" s="289"/>
      <c r="AE47" s="1" t="s">
        <v>186</v>
      </c>
    </row>
    <row r="48" spans="2:31" s="4" customFormat="1" hidden="1" x14ac:dyDescent="0.25">
      <c r="B48" s="66" t="s">
        <v>187</v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294"/>
      <c r="AE48" s="1" t="s">
        <v>188</v>
      </c>
    </row>
    <row r="49" spans="3:31" s="4" customFormat="1" hidden="1" x14ac:dyDescent="0.25">
      <c r="AE49" s="1"/>
    </row>
    <row r="50" spans="3:31" hidden="1" x14ac:dyDescent="0.25">
      <c r="C50" s="153"/>
      <c r="D50" s="153"/>
      <c r="E50" s="153"/>
      <c r="F50" s="153"/>
      <c r="G50" s="153"/>
      <c r="H50" s="153"/>
      <c r="I50" s="153"/>
      <c r="J50" s="153"/>
      <c r="K50" s="153">
        <v>0.54208815860874948</v>
      </c>
      <c r="L50" s="153"/>
      <c r="M50" s="153"/>
    </row>
    <row r="51" spans="3:31" hidden="1" x14ac:dyDescent="0.25"/>
    <row r="52" spans="3:31" hidden="1" x14ac:dyDescent="0.25"/>
    <row r="53" spans="3:31" hidden="1" x14ac:dyDescent="0.25"/>
    <row r="54" spans="3:31" hidden="1" x14ac:dyDescent="0.25"/>
    <row r="55" spans="3:31" hidden="1" x14ac:dyDescent="0.25"/>
    <row r="56" spans="3:31" hidden="1" x14ac:dyDescent="0.25"/>
    <row r="57" spans="3:31" hidden="1" x14ac:dyDescent="0.25"/>
    <row r="58" spans="3:31" hidden="1" x14ac:dyDescent="0.25"/>
    <row r="59" spans="3:31" hidden="1" x14ac:dyDescent="0.25"/>
    <row r="60" spans="3:31" hidden="1" x14ac:dyDescent="0.25"/>
    <row r="61" spans="3:31" hidden="1" x14ac:dyDescent="0.25"/>
    <row r="62" spans="3:31" hidden="1" x14ac:dyDescent="0.25"/>
    <row r="63" spans="3:31" hidden="1" x14ac:dyDescent="0.25"/>
    <row r="64" spans="3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31" spans="1:31" s="4" customFormat="1" ht="25.5" customHeight="1" thickBot="1" x14ac:dyDescent="0.3">
      <c r="B131" s="85" t="s">
        <v>199</v>
      </c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Z131" s="1"/>
    </row>
    <row r="132" spans="1:31" s="4" customFormat="1" ht="6" customHeight="1" x14ac:dyDescent="0.25">
      <c r="Z132" s="1"/>
    </row>
    <row r="133" spans="1:31" s="4" customFormat="1" ht="45" x14ac:dyDescent="0.25">
      <c r="C133" s="218">
        <v>2020</v>
      </c>
      <c r="D133" s="218">
        <v>2021</v>
      </c>
      <c r="E133" s="218">
        <v>2022</v>
      </c>
      <c r="F133" s="218">
        <v>2023</v>
      </c>
      <c r="G133" s="206" t="str">
        <f>CONCATENATE("var. ",RIGHT(F133,2),"/",RIGHT(E133,2))</f>
        <v>var. 23/22</v>
      </c>
      <c r="H133" s="206" t="str">
        <f>CONCATENATE("dif. ",RIGHT(F133,2),"/",RIGHT(E133,2))</f>
        <v>dif. 23/22</v>
      </c>
      <c r="I133" s="296" t="str">
        <f>CONCATENATE("%/s total Tenerife ",RIGHT(F133,4))</f>
        <v>%/s total Tenerife 2023</v>
      </c>
      <c r="J133" s="218">
        <v>2024</v>
      </c>
      <c r="K133" s="296" t="str">
        <f>CONCATENATE("%/s total Tenerife ",RIGHT(J133,4))</f>
        <v>%/s total Tenerife 2024</v>
      </c>
      <c r="L133" s="206" t="str">
        <f>CONCATENATE("var. ",RIGHT(J133,2),"/",RIGHT(F133,2))</f>
        <v>var. 24/23</v>
      </c>
      <c r="M133" s="206" t="str">
        <f>CONCATENATE("dif. ",RIGHT(J133,2),"/",RIGHT(F133,2))</f>
        <v>dif. 24/23</v>
      </c>
      <c r="N133" s="206" t="str">
        <f>CONCATENATE("var. ",RIGHT(J133,2),"/",RIGHT(D133,2))</f>
        <v>var. 24/21</v>
      </c>
      <c r="O133" s="206" t="str">
        <f>CONCATENATE("dif. ",RIGHT(J133,2),"/",RIGHT(D133,2))</f>
        <v>dif. 24/21</v>
      </c>
      <c r="Z133" s="1"/>
    </row>
    <row r="134" spans="1:31" ht="18.75" x14ac:dyDescent="0.3">
      <c r="A134" s="4"/>
      <c r="B134" s="277" t="s">
        <v>195</v>
      </c>
      <c r="C134" s="297">
        <v>14652</v>
      </c>
      <c r="D134" s="281">
        <v>11021</v>
      </c>
      <c r="E134" s="281">
        <v>9118</v>
      </c>
      <c r="F134" s="281">
        <v>11280</v>
      </c>
      <c r="G134" s="282">
        <f>F134/E134-1</f>
        <v>0.23711340206185572</v>
      </c>
      <c r="H134" s="281">
        <f>F134-E134</f>
        <v>2162</v>
      </c>
      <c r="I134" s="282">
        <f>F134/F$134</f>
        <v>1</v>
      </c>
      <c r="J134" s="281">
        <v>10812</v>
      </c>
      <c r="K134" s="282">
        <f>J134/J$134</f>
        <v>1</v>
      </c>
      <c r="L134" s="282">
        <f>J134/F134-1</f>
        <v>-4.1489361702127692E-2</v>
      </c>
      <c r="M134" s="281">
        <f>J134-F134</f>
        <v>-468</v>
      </c>
      <c r="N134" s="282">
        <f>J134/D134-1</f>
        <v>-1.8963796388712484E-2</v>
      </c>
      <c r="O134" s="281">
        <f>J134-D134</f>
        <v>-209</v>
      </c>
      <c r="Q134" s="37"/>
      <c r="R134" s="103"/>
      <c r="Z134" s="1" t="s">
        <v>179</v>
      </c>
      <c r="AE134"/>
    </row>
    <row r="135" spans="1:31" s="4" customFormat="1" x14ac:dyDescent="0.25">
      <c r="B135" s="299" t="s">
        <v>196</v>
      </c>
      <c r="C135" s="300">
        <v>11787</v>
      </c>
      <c r="D135" s="300">
        <v>8246</v>
      </c>
      <c r="E135" s="300">
        <v>6650</v>
      </c>
      <c r="F135" s="300">
        <v>8525</v>
      </c>
      <c r="G135" s="304">
        <f>IFERROR(F135/E135-1,"-")</f>
        <v>0.28195488721804507</v>
      </c>
      <c r="H135" s="300">
        <f t="shared" ref="H135:H138" si="14">F135-E135</f>
        <v>1875</v>
      </c>
      <c r="I135" s="302">
        <f>F135/F$134</f>
        <v>0.75576241134751776</v>
      </c>
      <c r="J135" s="300">
        <v>8441</v>
      </c>
      <c r="K135" s="301">
        <f t="shared" ref="K135:K138" si="15">J135/J$134</f>
        <v>0.78070662227155008</v>
      </c>
      <c r="L135" s="302">
        <f t="shared" ref="L135:L138" si="16">J135/F135-1</f>
        <v>-9.8533724340176265E-3</v>
      </c>
      <c r="M135" s="303">
        <f t="shared" ref="M135:M138" si="17">J135-F135</f>
        <v>-84</v>
      </c>
      <c r="N135" s="301">
        <f t="shared" ref="N135:N138" si="18">J135/D135-1</f>
        <v>2.364782925054576E-2</v>
      </c>
      <c r="O135" s="300">
        <f t="shared" ref="O135:O138" si="19">J135-D135</f>
        <v>195</v>
      </c>
      <c r="Q135" s="37"/>
      <c r="R135" s="103"/>
      <c r="Z135" s="1" t="s">
        <v>181</v>
      </c>
    </row>
    <row r="136" spans="1:31" s="4" customFormat="1" x14ac:dyDescent="0.25">
      <c r="B136" s="123" t="s">
        <v>64</v>
      </c>
      <c r="C136" s="306">
        <v>2454</v>
      </c>
      <c r="D136" s="306">
        <v>0</v>
      </c>
      <c r="E136" s="306">
        <v>71</v>
      </c>
      <c r="F136" s="306">
        <v>0</v>
      </c>
      <c r="G136" s="310">
        <f t="shared" ref="G136:G138" si="20">IFERROR(F136/E136-1,"-")</f>
        <v>-1</v>
      </c>
      <c r="H136" s="306">
        <f t="shared" si="14"/>
        <v>-71</v>
      </c>
      <c r="I136" s="314">
        <f t="shared" ref="I136:I138" si="21">F136/F$134</f>
        <v>0</v>
      </c>
      <c r="J136" s="306">
        <v>0</v>
      </c>
      <c r="K136" s="312">
        <f t="shared" si="15"/>
        <v>0</v>
      </c>
      <c r="L136" s="314" t="e">
        <f t="shared" si="16"/>
        <v>#DIV/0!</v>
      </c>
      <c r="M136" s="313">
        <f t="shared" si="17"/>
        <v>0</v>
      </c>
      <c r="N136" s="312" t="e">
        <f t="shared" si="18"/>
        <v>#DIV/0!</v>
      </c>
      <c r="O136" s="306">
        <f t="shared" si="19"/>
        <v>0</v>
      </c>
      <c r="Q136" s="37"/>
      <c r="R136" s="103"/>
      <c r="Z136" s="1"/>
    </row>
    <row r="137" spans="1:31" s="4" customFormat="1" x14ac:dyDescent="0.25">
      <c r="B137" s="123" t="s">
        <v>63</v>
      </c>
      <c r="C137" s="306">
        <v>0</v>
      </c>
      <c r="D137" s="306">
        <v>8246</v>
      </c>
      <c r="E137" s="306">
        <v>6579</v>
      </c>
      <c r="F137" s="306">
        <v>8525</v>
      </c>
      <c r="G137" s="308">
        <f t="shared" si="20"/>
        <v>0.29578963368293043</v>
      </c>
      <c r="H137" s="306">
        <f t="shared" si="14"/>
        <v>1946</v>
      </c>
      <c r="I137" s="318">
        <f t="shared" si="21"/>
        <v>0.75576241134751776</v>
      </c>
      <c r="J137" s="306">
        <v>8441</v>
      </c>
      <c r="K137" s="312">
        <f t="shared" si="15"/>
        <v>0.78070662227155008</v>
      </c>
      <c r="L137" s="314">
        <f t="shared" si="16"/>
        <v>-9.8533724340176265E-3</v>
      </c>
      <c r="M137" s="313">
        <f t="shared" si="17"/>
        <v>-84</v>
      </c>
      <c r="N137" s="312">
        <f t="shared" si="18"/>
        <v>2.364782925054576E-2</v>
      </c>
      <c r="O137" s="306">
        <f t="shared" si="19"/>
        <v>195</v>
      </c>
      <c r="Q137" s="37"/>
      <c r="R137" s="103"/>
      <c r="Z137" s="1"/>
    </row>
    <row r="138" spans="1:31" s="4" customFormat="1" x14ac:dyDescent="0.25">
      <c r="B138" s="299" t="s">
        <v>197</v>
      </c>
      <c r="C138" s="300">
        <v>715</v>
      </c>
      <c r="D138" s="300">
        <v>2775</v>
      </c>
      <c r="E138" s="300">
        <v>2468</v>
      </c>
      <c r="F138" s="300">
        <v>2755</v>
      </c>
      <c r="G138" s="304">
        <f t="shared" si="20"/>
        <v>0.11628849270664499</v>
      </c>
      <c r="H138" s="300">
        <f t="shared" si="14"/>
        <v>287</v>
      </c>
      <c r="I138" s="302">
        <f t="shared" si="21"/>
        <v>0.24423758865248227</v>
      </c>
      <c r="J138" s="300">
        <v>2371</v>
      </c>
      <c r="K138" s="301">
        <f t="shared" si="15"/>
        <v>0.21929337772844987</v>
      </c>
      <c r="L138" s="302">
        <f t="shared" si="16"/>
        <v>-0.13938294010889296</v>
      </c>
      <c r="M138" s="303">
        <f t="shared" si="17"/>
        <v>-384</v>
      </c>
      <c r="N138" s="301">
        <f t="shared" si="18"/>
        <v>-0.14558558558558554</v>
      </c>
      <c r="O138" s="300">
        <f t="shared" si="19"/>
        <v>-404</v>
      </c>
      <c r="Q138" s="37"/>
      <c r="R138" s="103"/>
      <c r="Z138" s="1"/>
    </row>
    <row r="139" spans="1:31" s="4" customFormat="1" ht="7.5" customHeight="1" x14ac:dyDescent="0.25">
      <c r="B139" s="289"/>
      <c r="C139" s="289"/>
      <c r="D139" s="289"/>
      <c r="E139" s="289"/>
      <c r="F139" s="289"/>
      <c r="G139" s="289"/>
      <c r="H139" s="289"/>
      <c r="I139" s="289"/>
      <c r="J139" s="289"/>
      <c r="K139" s="289"/>
      <c r="L139" s="289"/>
      <c r="M139" s="289"/>
      <c r="N139" s="289"/>
      <c r="O139" s="289"/>
      <c r="Z139" s="1" t="s">
        <v>186</v>
      </c>
    </row>
    <row r="140" spans="1:31" s="4" customFormat="1" ht="32.25" customHeight="1" x14ac:dyDescent="0.25">
      <c r="B140" s="319" t="s">
        <v>200</v>
      </c>
      <c r="C140" s="319"/>
      <c r="D140" s="319"/>
      <c r="E140" s="319"/>
      <c r="F140" s="319"/>
      <c r="G140" s="319"/>
      <c r="H140" s="319"/>
      <c r="I140" s="319"/>
      <c r="J140" s="319"/>
      <c r="K140" s="319"/>
      <c r="L140" s="319"/>
      <c r="M140" s="319"/>
      <c r="N140" s="319"/>
      <c r="O140" s="319"/>
      <c r="Z140" s="1" t="s">
        <v>188</v>
      </c>
    </row>
    <row r="141" spans="1:31" x14ac:dyDescent="0.25">
      <c r="Z141" s="1"/>
      <c r="AE141"/>
    </row>
    <row r="142" spans="1:31" x14ac:dyDescent="0.25">
      <c r="Z142" s="1"/>
      <c r="AE142"/>
    </row>
  </sheetData>
  <mergeCells count="3">
    <mergeCell ref="B38:S38"/>
    <mergeCell ref="B48:S48"/>
    <mergeCell ref="B140:O14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A7044-3532-4B9A-9425-8BAD071572D1}">
  <sheetPr>
    <tabColor theme="4" tint="0.39997558519241921"/>
  </sheetPr>
  <dimension ref="A1:AE142"/>
  <sheetViews>
    <sheetView showGridLines="0" zoomScaleNormal="100" workbookViewId="0">
      <selection activeCell="G10" sqref="G10"/>
    </sheetView>
  </sheetViews>
  <sheetFormatPr baseColWidth="10" defaultRowHeight="15" x14ac:dyDescent="0.25"/>
  <cols>
    <col min="1" max="1" width="17.7109375" customWidth="1"/>
    <col min="2" max="2" width="33.5703125" customWidth="1"/>
    <col min="3" max="20" width="12.42578125" customWidth="1"/>
    <col min="27" max="27" width="14" hidden="1" customWidth="1"/>
    <col min="31" max="31" width="11.42578125" style="1"/>
  </cols>
  <sheetData>
    <row r="1" spans="1:31" ht="30" customHeight="1" x14ac:dyDescent="0.25">
      <c r="B1" s="1" t="s">
        <v>194</v>
      </c>
      <c r="G1" s="276"/>
      <c r="H1" s="276"/>
      <c r="I1" s="276"/>
      <c r="K1" s="276"/>
    </row>
    <row r="3" spans="1:31" s="4" customFormat="1" ht="25.5" customHeight="1" thickBot="1" x14ac:dyDescent="0.3">
      <c r="B3" s="85" t="s">
        <v>316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AE3" s="1"/>
    </row>
    <row r="4" spans="1:31" s="4" customFormat="1" ht="6" customHeight="1" x14ac:dyDescent="0.25">
      <c r="AE4" s="1"/>
    </row>
    <row r="5" spans="1:31" s="4" customFormat="1" ht="45" x14ac:dyDescent="0.25">
      <c r="C5" s="295" t="s">
        <v>265</v>
      </c>
      <c r="D5" s="295" t="s">
        <v>266</v>
      </c>
      <c r="E5" s="295" t="s">
        <v>267</v>
      </c>
      <c r="F5" s="296" t="str">
        <f>CONCATENATE("%/s total Tenerife ",RIGHT(E5,4))</f>
        <v>%/s total Tenerife 2022</v>
      </c>
      <c r="G5" s="295" t="s">
        <v>268</v>
      </c>
      <c r="H5" s="296" t="str">
        <f>CONCATENATE("var. ",RIGHT(G5,2),"/",RIGHT(E5,2))</f>
        <v>var. 23/22</v>
      </c>
      <c r="I5" s="296" t="str">
        <f>CONCATENATE("dif. ",RIGHT(G5,2),"/",RIGHT(E5,2))</f>
        <v>dif. 23/22</v>
      </c>
      <c r="J5" s="296" t="str">
        <f>CONCATENATE("%/s total Tenerife ",RIGHT(G5,4))</f>
        <v>%/s total Tenerife 2023</v>
      </c>
      <c r="K5" s="295" t="s">
        <v>269</v>
      </c>
      <c r="L5" s="296" t="str">
        <f>CONCATENATE("var. ",RIGHT(K5,2),"/",RIGHT(G5,2))</f>
        <v>var. 24/23</v>
      </c>
      <c r="M5" s="296" t="str">
        <f>CONCATENATE("dif. ",RIGHT(K5,2),"/",RIGHT(G5,2))</f>
        <v>dif. 24/23</v>
      </c>
      <c r="N5" s="296" t="str">
        <f>CONCATENATE("%/s total Tenerife ",RIGHT(K5,4))</f>
        <v>%/s total Tenerife 2024</v>
      </c>
      <c r="O5" s="295" t="s">
        <v>270</v>
      </c>
      <c r="P5" s="296" t="str">
        <f>CONCATENATE("var. ",RIGHT(O5,2),"/",RIGHT(K5,2))</f>
        <v>var. 25/24</v>
      </c>
      <c r="Q5" s="296" t="str">
        <f>CONCATENATE("dif. ",RIGHT(O5,2),"/",RIGHT(K5,2))</f>
        <v>dif. 25/24</v>
      </c>
      <c r="R5" s="296" t="str">
        <f>CONCATENATE("var. ",RIGHT(O5,2),"/",RIGHT(C5,2))</f>
        <v>var. 25/20</v>
      </c>
      <c r="S5" s="296" t="str">
        <f>CONCATENATE("dif. ",RIGHT(O5,2),"/",RIGHT(C5,2))</f>
        <v>dif. 25/20</v>
      </c>
      <c r="T5" s="296" t="str">
        <f>CONCATENATE("%/s total Tenerife ",RIGHT(O5,4))</f>
        <v>%/s total Tenerife 2025</v>
      </c>
      <c r="AE5" s="1"/>
    </row>
    <row r="6" spans="1:31" ht="18.75" x14ac:dyDescent="0.3">
      <c r="A6" s="4"/>
      <c r="B6" s="277" t="s">
        <v>201</v>
      </c>
      <c r="C6" s="297">
        <v>4587</v>
      </c>
      <c r="D6" s="297">
        <v>9019</v>
      </c>
      <c r="E6" s="297">
        <v>7256</v>
      </c>
      <c r="F6" s="298">
        <f>E6/$E$6</f>
        <v>1</v>
      </c>
      <c r="G6" s="297">
        <v>9010</v>
      </c>
      <c r="H6" s="298">
        <f>G6/E6-1</f>
        <v>0.24173098125689085</v>
      </c>
      <c r="I6" s="297">
        <f>G6-E6</f>
        <v>1754</v>
      </c>
      <c r="J6" s="298">
        <f>G6/$G$6</f>
        <v>1</v>
      </c>
      <c r="K6" s="297">
        <v>7991</v>
      </c>
      <c r="L6" s="298">
        <f t="shared" ref="L6:L12" si="0">K6/G6-1</f>
        <v>-0.11309655937846841</v>
      </c>
      <c r="M6" s="297">
        <f t="shared" ref="M6:M12" si="1">K6-G6</f>
        <v>-1019</v>
      </c>
      <c r="N6" s="298">
        <f>K6/$K$6</f>
        <v>1</v>
      </c>
      <c r="O6" s="297">
        <v>10248</v>
      </c>
      <c r="P6" s="298">
        <f t="shared" ref="P6:P11" si="2">O6/K6-1</f>
        <v>0.28244274809160297</v>
      </c>
      <c r="Q6" s="297">
        <f t="shared" ref="Q6:Q12" si="3">O6-K6</f>
        <v>2257</v>
      </c>
      <c r="R6" s="298">
        <f>O6/C6-1</f>
        <v>1.2341399607586658</v>
      </c>
      <c r="S6" s="297">
        <f>O6-C6</f>
        <v>5661</v>
      </c>
      <c r="T6" s="298">
        <f>O6/$O$6</f>
        <v>1</v>
      </c>
      <c r="V6" s="37"/>
      <c r="W6" s="103"/>
      <c r="AE6" s="1" t="s">
        <v>179</v>
      </c>
    </row>
    <row r="7" spans="1:31" s="4" customFormat="1" x14ac:dyDescent="0.25">
      <c r="B7" s="299" t="s">
        <v>196</v>
      </c>
      <c r="C7" s="300">
        <v>4104</v>
      </c>
      <c r="D7" s="300">
        <v>6713</v>
      </c>
      <c r="E7" s="300">
        <v>5349</v>
      </c>
      <c r="F7" s="301">
        <f t="shared" ref="F7:F12" si="4">E7/$E$6</f>
        <v>0.73718302094818078</v>
      </c>
      <c r="G7" s="300">
        <v>6741</v>
      </c>
      <c r="H7" s="302">
        <f>G7/E7-1</f>
        <v>0.2602355580482334</v>
      </c>
      <c r="I7" s="303">
        <f>G7-E7</f>
        <v>1392</v>
      </c>
      <c r="J7" s="301">
        <f>G7/$G$6</f>
        <v>0.74816870144284131</v>
      </c>
      <c r="K7" s="300">
        <v>6155</v>
      </c>
      <c r="L7" s="304">
        <f t="shared" si="0"/>
        <v>-8.6930722444741093E-2</v>
      </c>
      <c r="M7" s="305">
        <f t="shared" si="1"/>
        <v>-586</v>
      </c>
      <c r="N7" s="301">
        <f>K7/$K$6</f>
        <v>0.77024152171192595</v>
      </c>
      <c r="O7" s="300">
        <v>6935</v>
      </c>
      <c r="P7" s="302">
        <f t="shared" si="2"/>
        <v>0.12672623883021927</v>
      </c>
      <c r="Q7" s="303">
        <f t="shared" si="3"/>
        <v>780</v>
      </c>
      <c r="R7" s="302">
        <f t="shared" ref="R7:R10" si="5">O7/C7-1</f>
        <v>0.68981481481481488</v>
      </c>
      <c r="S7" s="303">
        <f t="shared" ref="S7:S10" si="6">O7-C7</f>
        <v>2831</v>
      </c>
      <c r="T7" s="301">
        <f>O7/$O$6</f>
        <v>0.67671740827478533</v>
      </c>
      <c r="V7" s="37"/>
      <c r="W7" s="103"/>
      <c r="AE7" s="1" t="s">
        <v>181</v>
      </c>
    </row>
    <row r="8" spans="1:31" s="4" customFormat="1" x14ac:dyDescent="0.25">
      <c r="B8" s="123" t="s">
        <v>64</v>
      </c>
      <c r="C8" s="306">
        <v>0</v>
      </c>
      <c r="D8" s="306">
        <v>0</v>
      </c>
      <c r="E8" s="306">
        <v>71</v>
      </c>
      <c r="F8" s="307">
        <f t="shared" si="4"/>
        <v>9.7850055126791624E-3</v>
      </c>
      <c r="G8" s="306">
        <v>0</v>
      </c>
      <c r="H8" s="308">
        <f>IFERROR(G8/E8-1,"-")</f>
        <v>-1</v>
      </c>
      <c r="I8" s="309">
        <f t="shared" ref="I8:I12" si="7">G8-E8</f>
        <v>-71</v>
      </c>
      <c r="J8" s="307">
        <f t="shared" ref="J8:J12" si="8">G8/$G$6</f>
        <v>0</v>
      </c>
      <c r="K8" s="306">
        <v>0</v>
      </c>
      <c r="L8" s="310" t="str">
        <f>IFERROR(K8/G8-1,"-")</f>
        <v>-</v>
      </c>
      <c r="M8" s="311" t="str">
        <f>IF(G8=0,"nd",K8-G8)</f>
        <v>nd</v>
      </c>
      <c r="N8" s="312">
        <f t="shared" ref="N8:N12" si="9">K8/$K$6</f>
        <v>0</v>
      </c>
      <c r="O8" s="306">
        <v>0</v>
      </c>
      <c r="P8" s="310" t="str">
        <f>IFERROR(O8/K8-1,"-")</f>
        <v>-</v>
      </c>
      <c r="Q8" s="313">
        <f t="shared" si="3"/>
        <v>0</v>
      </c>
      <c r="R8" s="310" t="str">
        <f>IFERROR(O8/C8-1,"-")</f>
        <v>-</v>
      </c>
      <c r="S8" s="313">
        <f t="shared" si="6"/>
        <v>0</v>
      </c>
      <c r="T8" s="312">
        <f t="shared" ref="T8:T12" si="10">O8/$O$6</f>
        <v>0</v>
      </c>
      <c r="V8" s="37"/>
      <c r="W8" s="103"/>
      <c r="AE8" s="1"/>
    </row>
    <row r="9" spans="1:31" s="4" customFormat="1" x14ac:dyDescent="0.25">
      <c r="B9" s="123" t="s">
        <v>63</v>
      </c>
      <c r="C9" s="306">
        <v>2669</v>
      </c>
      <c r="D9" s="306">
        <v>4618</v>
      </c>
      <c r="E9" s="306">
        <v>5278</v>
      </c>
      <c r="F9" s="312">
        <f t="shared" si="4"/>
        <v>0.72739801543550164</v>
      </c>
      <c r="G9" s="306">
        <v>6741</v>
      </c>
      <c r="H9" s="308">
        <f>IFERROR(G9/E9-1,"-")</f>
        <v>0.27718832891246681</v>
      </c>
      <c r="I9" s="313">
        <f t="shared" si="7"/>
        <v>1463</v>
      </c>
      <c r="J9" s="312">
        <f t="shared" si="8"/>
        <v>0.74816870144284131</v>
      </c>
      <c r="K9" s="306">
        <v>6155</v>
      </c>
      <c r="L9" s="310">
        <f>IFERROR(K9/G9-1,"-")</f>
        <v>-8.6930722444741093E-2</v>
      </c>
      <c r="M9" s="311">
        <f>IF(G9=0,"nd",K9-G9)</f>
        <v>-586</v>
      </c>
      <c r="N9" s="312">
        <f t="shared" si="9"/>
        <v>0.77024152171192595</v>
      </c>
      <c r="O9" s="306">
        <v>6935</v>
      </c>
      <c r="P9" s="310">
        <f t="shared" si="2"/>
        <v>0.12672623883021927</v>
      </c>
      <c r="Q9" s="313">
        <f t="shared" si="3"/>
        <v>780</v>
      </c>
      <c r="R9" s="314">
        <f t="shared" si="5"/>
        <v>1.5983514424878233</v>
      </c>
      <c r="S9" s="313">
        <f t="shared" si="6"/>
        <v>4266</v>
      </c>
      <c r="T9" s="312">
        <f t="shared" si="10"/>
        <v>0.67671740827478533</v>
      </c>
      <c r="V9" s="37"/>
      <c r="W9" s="103"/>
      <c r="AE9" s="1"/>
    </row>
    <row r="10" spans="1:31" s="4" customFormat="1" x14ac:dyDescent="0.25">
      <c r="B10" s="299" t="s">
        <v>197</v>
      </c>
      <c r="C10" s="315">
        <v>483</v>
      </c>
      <c r="D10" s="315">
        <v>2306</v>
      </c>
      <c r="E10" s="315">
        <v>1907</v>
      </c>
      <c r="F10" s="316">
        <f>IFERROR(E10/$E$6,"-")</f>
        <v>0.26281697905181917</v>
      </c>
      <c r="G10" s="315">
        <v>2269</v>
      </c>
      <c r="H10" s="304">
        <f>IFERROR(G10/E10-1,"-")</f>
        <v>0.18982695332983734</v>
      </c>
      <c r="I10" s="305">
        <f>IFERROR(G10-E10,"-")</f>
        <v>362</v>
      </c>
      <c r="J10" s="316">
        <f>IFERROR(G10/$G$6,"-")</f>
        <v>0.25183129855715869</v>
      </c>
      <c r="K10" s="315">
        <v>1836</v>
      </c>
      <c r="L10" s="304">
        <f>IFERROR(K10/G10-1,"-")</f>
        <v>-0.19083296606434552</v>
      </c>
      <c r="M10" s="305">
        <f>IFERROR(K10-G10,"-")</f>
        <v>-433</v>
      </c>
      <c r="N10" s="316">
        <f>IFERROR(K10/$K$6,"-")</f>
        <v>0.22975847828807408</v>
      </c>
      <c r="O10" s="315">
        <v>3313</v>
      </c>
      <c r="P10" s="304">
        <f>IFERROR(O10/K10-1,"-")</f>
        <v>0.80446623093681913</v>
      </c>
      <c r="Q10" s="305">
        <f>IFERROR(O10-K10,"-")</f>
        <v>1477</v>
      </c>
      <c r="R10" s="304">
        <f t="shared" si="5"/>
        <v>5.8592132505175982</v>
      </c>
      <c r="S10" s="305">
        <f t="shared" si="6"/>
        <v>2830</v>
      </c>
      <c r="T10" s="316">
        <f>IFERROR(O10/$O$6,"-")</f>
        <v>0.32328259172521467</v>
      </c>
      <c r="V10" s="37"/>
      <c r="W10" s="103"/>
      <c r="AE10" s="1"/>
    </row>
    <row r="11" spans="1:31" s="4" customFormat="1" hidden="1" x14ac:dyDescent="0.25">
      <c r="B11" s="123" t="s">
        <v>64</v>
      </c>
      <c r="C11" s="306">
        <v>483</v>
      </c>
      <c r="D11" s="306">
        <v>2306</v>
      </c>
      <c r="E11" s="306">
        <v>1907</v>
      </c>
      <c r="F11" s="312">
        <f t="shared" si="4"/>
        <v>0.26281697905181917</v>
      </c>
      <c r="G11" s="306">
        <v>2269</v>
      </c>
      <c r="H11" s="314">
        <f t="shared" ref="H11:H12" si="11">G11/E11-1</f>
        <v>0.18982695332983734</v>
      </c>
      <c r="I11" s="313">
        <f t="shared" si="7"/>
        <v>362</v>
      </c>
      <c r="J11" s="312">
        <f t="shared" si="8"/>
        <v>0.25183129855715869</v>
      </c>
      <c r="K11" s="306">
        <v>1836</v>
      </c>
      <c r="L11" s="310">
        <f>K11/G11-1</f>
        <v>-0.19083296606434552</v>
      </c>
      <c r="M11" s="313">
        <f t="shared" si="1"/>
        <v>-433</v>
      </c>
      <c r="N11" s="312">
        <f t="shared" si="9"/>
        <v>0.22975847828807408</v>
      </c>
      <c r="O11" s="306">
        <v>0</v>
      </c>
      <c r="P11" s="314">
        <f t="shared" si="2"/>
        <v>-1</v>
      </c>
      <c r="Q11" s="313">
        <f t="shared" si="3"/>
        <v>-1836</v>
      </c>
      <c r="R11" s="314">
        <f t="shared" ref="R11:R12" si="12">O11/D11-1</f>
        <v>-1</v>
      </c>
      <c r="S11" s="313">
        <f t="shared" ref="S11:S12" si="13">O11-D11</f>
        <v>-2306</v>
      </c>
      <c r="T11" s="312">
        <f t="shared" si="10"/>
        <v>0</v>
      </c>
      <c r="V11" s="37"/>
      <c r="W11" s="103"/>
      <c r="AE11" s="1"/>
    </row>
    <row r="12" spans="1:31" s="4" customFormat="1" hidden="1" x14ac:dyDescent="0.25">
      <c r="B12" s="123" t="s">
        <v>63</v>
      </c>
      <c r="C12" s="306">
        <v>0</v>
      </c>
      <c r="D12" s="306">
        <v>0</v>
      </c>
      <c r="E12" s="306">
        <v>0</v>
      </c>
      <c r="F12" s="312">
        <f t="shared" si="4"/>
        <v>0</v>
      </c>
      <c r="G12" s="306">
        <v>0</v>
      </c>
      <c r="H12" s="314" t="e">
        <f t="shared" si="11"/>
        <v>#DIV/0!</v>
      </c>
      <c r="I12" s="313">
        <f t="shared" si="7"/>
        <v>0</v>
      </c>
      <c r="J12" s="312">
        <f t="shared" si="8"/>
        <v>0</v>
      </c>
      <c r="K12" s="306">
        <v>0</v>
      </c>
      <c r="L12" s="310" t="e">
        <f t="shared" si="0"/>
        <v>#DIV/0!</v>
      </c>
      <c r="M12" s="313">
        <f t="shared" si="1"/>
        <v>0</v>
      </c>
      <c r="N12" s="312">
        <f t="shared" si="9"/>
        <v>0</v>
      </c>
      <c r="O12" s="306">
        <v>0</v>
      </c>
      <c r="P12" s="314" t="e">
        <f>O12/K12-1</f>
        <v>#DIV/0!</v>
      </c>
      <c r="Q12" s="313">
        <f t="shared" si="3"/>
        <v>0</v>
      </c>
      <c r="R12" s="314" t="e">
        <f t="shared" si="12"/>
        <v>#DIV/0!</v>
      </c>
      <c r="S12" s="313">
        <f t="shared" si="13"/>
        <v>0</v>
      </c>
      <c r="T12" s="312">
        <f t="shared" si="10"/>
        <v>0</v>
      </c>
      <c r="V12" s="37"/>
      <c r="W12" s="103"/>
      <c r="AE12" s="1"/>
    </row>
    <row r="13" spans="1:31" s="4" customFormat="1" ht="7.5" customHeight="1" x14ac:dyDescent="0.25">
      <c r="B13" s="289"/>
      <c r="C13" s="289"/>
      <c r="D13" s="289"/>
      <c r="E13" s="289"/>
      <c r="F13" s="289"/>
      <c r="G13" s="289"/>
      <c r="H13" s="289"/>
      <c r="I13" s="289"/>
      <c r="J13" s="289"/>
      <c r="K13" s="289"/>
      <c r="L13" s="317"/>
      <c r="M13" s="289"/>
      <c r="N13" s="289"/>
      <c r="O13" s="289"/>
      <c r="P13" s="289"/>
      <c r="Q13" s="289"/>
      <c r="R13" s="289"/>
      <c r="S13" s="289"/>
      <c r="T13" s="289"/>
      <c r="AE13" s="1" t="s">
        <v>186</v>
      </c>
    </row>
    <row r="14" spans="1:31" s="4" customFormat="1" x14ac:dyDescent="0.25">
      <c r="B14" s="202" t="s">
        <v>187</v>
      </c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2"/>
      <c r="Q14" s="202"/>
      <c r="R14" s="202"/>
      <c r="S14" s="202"/>
      <c r="T14" s="202"/>
      <c r="AE14" s="1" t="s">
        <v>188</v>
      </c>
    </row>
    <row r="15" spans="1:31" s="4" customFormat="1" x14ac:dyDescent="0.25">
      <c r="AE15" s="1"/>
    </row>
    <row r="19" spans="27:27" x14ac:dyDescent="0.25">
      <c r="AA19" t="str">
        <f>CONCATENATE("Hoteles: 
",FIXED(O7,0)," viajeros 
cuota: ",FIXED(T7*100,1),"%")</f>
        <v>Hoteles: 
6.935 viajeros 
cuota: 67,7%</v>
      </c>
    </row>
    <row r="20" spans="27:27" x14ac:dyDescent="0.25">
      <c r="AA20" t="str">
        <f>CONCATENATE("Apartamentos: 
",FIXED(O10,0)," viajeros
cuota: ",FIXED(T10*100,1),"%")</f>
        <v>Apartamentos: 
3.313 viajeros
cuota: 32,3%</v>
      </c>
    </row>
    <row r="38" spans="2:31" s="4" customFormat="1" ht="15.75" hidden="1" customHeight="1" thickBot="1" x14ac:dyDescent="0.3">
      <c r="B38" s="12" t="s">
        <v>189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07"/>
      <c r="AE38" s="1"/>
    </row>
    <row r="39" spans="2:31" s="4" customFormat="1" ht="6" hidden="1" customHeight="1" thickBot="1" x14ac:dyDescent="0.3">
      <c r="AE39" s="1"/>
    </row>
    <row r="40" spans="2:31" s="4" customFormat="1" ht="30" hidden="1" x14ac:dyDescent="0.25">
      <c r="C40" s="112"/>
      <c r="D40" s="112"/>
      <c r="E40" s="112"/>
      <c r="F40" s="112"/>
      <c r="G40" s="112"/>
      <c r="H40" s="112"/>
      <c r="I40" s="112"/>
      <c r="J40" s="112"/>
      <c r="K40" s="15">
        <v>2020</v>
      </c>
      <c r="L40" s="15"/>
      <c r="M40" s="15"/>
      <c r="N40" s="15" t="s">
        <v>190</v>
      </c>
      <c r="O40" s="15">
        <v>2021</v>
      </c>
      <c r="P40" s="15" t="s">
        <v>190</v>
      </c>
      <c r="Q40" s="15" t="s">
        <v>191</v>
      </c>
      <c r="R40" s="15" t="s">
        <v>192</v>
      </c>
      <c r="S40" s="15" t="s">
        <v>193</v>
      </c>
      <c r="T40" s="112"/>
      <c r="AE40" s="1"/>
    </row>
    <row r="41" spans="2:31" s="4" customFormat="1" ht="18.75" hidden="1" x14ac:dyDescent="0.3">
      <c r="B41" s="277" t="s">
        <v>177</v>
      </c>
      <c r="C41" s="278"/>
      <c r="D41" s="278"/>
      <c r="E41" s="278"/>
      <c r="F41" s="278"/>
      <c r="G41" s="278"/>
      <c r="H41" s="278"/>
      <c r="I41" s="278"/>
      <c r="J41" s="278"/>
      <c r="K41" s="278">
        <v>1824653</v>
      </c>
      <c r="L41" s="278"/>
      <c r="M41" s="278"/>
      <c r="N41" s="279"/>
      <c r="O41" s="278">
        <v>2354005</v>
      </c>
      <c r="P41" s="279"/>
      <c r="Q41" s="279">
        <v>1</v>
      </c>
      <c r="R41" s="279">
        <v>0.2901110512519367</v>
      </c>
      <c r="S41" s="278">
        <v>529352</v>
      </c>
      <c r="T41" s="290"/>
      <c r="AE41" s="1"/>
    </row>
    <row r="42" spans="2:31" ht="18.75" hidden="1" x14ac:dyDescent="0.3">
      <c r="B42" s="277" t="s">
        <v>178</v>
      </c>
      <c r="C42" s="278"/>
      <c r="D42" s="278"/>
      <c r="E42" s="278"/>
      <c r="F42" s="278"/>
      <c r="G42" s="278"/>
      <c r="H42" s="278"/>
      <c r="I42" s="278"/>
      <c r="J42" s="278"/>
      <c r="K42" s="278">
        <v>603938</v>
      </c>
      <c r="L42" s="278"/>
      <c r="M42" s="278"/>
      <c r="N42" s="279">
        <v>1</v>
      </c>
      <c r="O42" s="278">
        <v>936181</v>
      </c>
      <c r="P42" s="279">
        <v>1</v>
      </c>
      <c r="Q42" s="279">
        <v>0.39769711619134201</v>
      </c>
      <c r="R42" s="279">
        <v>0.55012766211101138</v>
      </c>
      <c r="S42" s="278">
        <v>332243</v>
      </c>
      <c r="T42" s="290"/>
      <c r="AE42" s="1" t="s">
        <v>179</v>
      </c>
    </row>
    <row r="43" spans="2:31" ht="15.75" hidden="1" x14ac:dyDescent="0.25">
      <c r="B43" s="280" t="s">
        <v>102</v>
      </c>
      <c r="C43" s="281"/>
      <c r="D43" s="281"/>
      <c r="E43" s="281"/>
      <c r="F43" s="281"/>
      <c r="G43" s="281"/>
      <c r="H43" s="281"/>
      <c r="I43" s="281"/>
      <c r="J43" s="281"/>
      <c r="K43" s="281">
        <v>276550.36166633503</v>
      </c>
      <c r="L43" s="281"/>
      <c r="M43" s="281"/>
      <c r="N43" s="282">
        <v>0.45791184139155844</v>
      </c>
      <c r="O43" s="281">
        <v>430252.45635520399</v>
      </c>
      <c r="P43" s="282">
        <v>0.4595825554622493</v>
      </c>
      <c r="Q43" s="282">
        <v>0.18277465695918402</v>
      </c>
      <c r="R43" s="282">
        <v>0.55578337978930015</v>
      </c>
      <c r="S43" s="281">
        <v>153702.09468886897</v>
      </c>
      <c r="T43" s="291"/>
      <c r="AE43" s="1" t="s">
        <v>180</v>
      </c>
    </row>
    <row r="44" spans="2:31" s="4" customFormat="1" hidden="1" x14ac:dyDescent="0.25">
      <c r="B44" s="283" t="s">
        <v>105</v>
      </c>
      <c r="C44" s="284"/>
      <c r="D44" s="284"/>
      <c r="E44" s="284"/>
      <c r="F44" s="284"/>
      <c r="G44" s="284"/>
      <c r="H44" s="284"/>
      <c r="I44" s="284"/>
      <c r="J44" s="284"/>
      <c r="K44" s="284">
        <v>327387.63833385095</v>
      </c>
      <c r="L44" s="284"/>
      <c r="M44" s="284"/>
      <c r="N44" s="287">
        <v>0.54208815860874948</v>
      </c>
      <c r="O44" s="284">
        <v>505927.5436448183</v>
      </c>
      <c r="P44" s="287">
        <v>0.54041637636826456</v>
      </c>
      <c r="Q44" s="287">
        <v>0.21492203442423372</v>
      </c>
      <c r="R44" s="285">
        <v>0.54534711884540576</v>
      </c>
      <c r="S44" s="286">
        <v>178539.90531096736</v>
      </c>
      <c r="T44" s="293"/>
      <c r="AE44" s="1" t="s">
        <v>181</v>
      </c>
    </row>
    <row r="45" spans="2:31" s="4" customFormat="1" hidden="1" x14ac:dyDescent="0.25">
      <c r="B45" s="288" t="s">
        <v>182</v>
      </c>
      <c r="C45" s="37"/>
      <c r="D45" s="37"/>
      <c r="E45" s="37"/>
      <c r="F45" s="37"/>
      <c r="G45" s="37"/>
      <c r="H45" s="37"/>
      <c r="I45" s="37"/>
      <c r="J45" s="37"/>
      <c r="K45" s="37">
        <v>242109.12821622068</v>
      </c>
      <c r="L45" s="37"/>
      <c r="M45" s="37"/>
      <c r="N45" s="39">
        <v>0.4008840778626625</v>
      </c>
      <c r="O45" s="37">
        <v>391384.01224089495</v>
      </c>
      <c r="P45" s="39">
        <v>0.41806446855992052</v>
      </c>
      <c r="Q45" s="39">
        <v>0.16626303352834634</v>
      </c>
      <c r="R45" s="27">
        <v>0.61656033014732592</v>
      </c>
      <c r="S45" s="25">
        <v>149274.88402467428</v>
      </c>
      <c r="T45" s="25"/>
      <c r="AE45" s="1" t="s">
        <v>183</v>
      </c>
    </row>
    <row r="46" spans="2:31" s="4" customFormat="1" hidden="1" x14ac:dyDescent="0.25">
      <c r="B46" s="288" t="s">
        <v>184</v>
      </c>
      <c r="C46" s="37"/>
      <c r="D46" s="37"/>
      <c r="E46" s="37"/>
      <c r="F46" s="37"/>
      <c r="G46" s="37"/>
      <c r="H46" s="37"/>
      <c r="I46" s="37"/>
      <c r="J46" s="37"/>
      <c r="K46" s="37">
        <v>85278.510117630256</v>
      </c>
      <c r="L46" s="37"/>
      <c r="M46" s="37"/>
      <c r="N46" s="39">
        <v>0.14120408074608695</v>
      </c>
      <c r="O46" s="37">
        <v>114543.53140392336</v>
      </c>
      <c r="P46" s="39">
        <v>0.12235190780834407</v>
      </c>
      <c r="Q46" s="39">
        <v>4.8659000895887379E-2</v>
      </c>
      <c r="R46" s="27">
        <v>0.34316994100771625</v>
      </c>
      <c r="S46" s="25">
        <v>29265.021286293108</v>
      </c>
      <c r="T46" s="25"/>
      <c r="AE46" s="1" t="s">
        <v>185</v>
      </c>
    </row>
    <row r="47" spans="2:31" s="4" customFormat="1" ht="7.5" hidden="1" customHeight="1" x14ac:dyDescent="0.25">
      <c r="B47" s="289"/>
      <c r="C47" s="289"/>
      <c r="D47" s="289"/>
      <c r="E47" s="289"/>
      <c r="F47" s="289"/>
      <c r="G47" s="289"/>
      <c r="H47" s="289"/>
      <c r="I47" s="289"/>
      <c r="J47" s="289"/>
      <c r="K47" s="289"/>
      <c r="L47" s="289"/>
      <c r="M47" s="289"/>
      <c r="N47" s="289"/>
      <c r="O47" s="289"/>
      <c r="P47" s="289"/>
      <c r="Q47" s="289"/>
      <c r="R47" s="289"/>
      <c r="S47" s="289"/>
      <c r="AE47" s="1" t="s">
        <v>186</v>
      </c>
    </row>
    <row r="48" spans="2:31" s="4" customFormat="1" hidden="1" x14ac:dyDescent="0.25">
      <c r="B48" s="66" t="s">
        <v>187</v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294"/>
      <c r="AE48" s="1" t="s">
        <v>188</v>
      </c>
    </row>
    <row r="49" spans="3:31" s="4" customFormat="1" hidden="1" x14ac:dyDescent="0.25">
      <c r="AE49" s="1"/>
    </row>
    <row r="50" spans="3:31" hidden="1" x14ac:dyDescent="0.25">
      <c r="C50" s="153"/>
      <c r="D50" s="153"/>
      <c r="E50" s="153"/>
      <c r="F50" s="153"/>
      <c r="G50" s="153"/>
      <c r="H50" s="153"/>
      <c r="I50" s="153"/>
      <c r="J50" s="153"/>
      <c r="K50" s="153">
        <v>0.54208815860874948</v>
      </c>
      <c r="L50" s="153"/>
      <c r="M50" s="153"/>
    </row>
    <row r="51" spans="3:31" hidden="1" x14ac:dyDescent="0.25"/>
    <row r="52" spans="3:31" hidden="1" x14ac:dyDescent="0.25"/>
    <row r="53" spans="3:31" hidden="1" x14ac:dyDescent="0.25"/>
    <row r="54" spans="3:31" hidden="1" x14ac:dyDescent="0.25"/>
    <row r="55" spans="3:31" hidden="1" x14ac:dyDescent="0.25"/>
    <row r="56" spans="3:31" hidden="1" x14ac:dyDescent="0.25"/>
    <row r="57" spans="3:31" hidden="1" x14ac:dyDescent="0.25"/>
    <row r="58" spans="3:31" hidden="1" x14ac:dyDescent="0.25"/>
    <row r="59" spans="3:31" hidden="1" x14ac:dyDescent="0.25"/>
    <row r="60" spans="3:31" hidden="1" x14ac:dyDescent="0.25"/>
    <row r="61" spans="3:31" hidden="1" x14ac:dyDescent="0.25"/>
    <row r="62" spans="3:31" hidden="1" x14ac:dyDescent="0.25"/>
    <row r="63" spans="3:31" hidden="1" x14ac:dyDescent="0.25"/>
    <row r="64" spans="3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31" spans="1:31" s="4" customFormat="1" ht="25.5" customHeight="1" thickBot="1" x14ac:dyDescent="0.3">
      <c r="B131" s="85" t="s">
        <v>202</v>
      </c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Z131" s="1"/>
    </row>
    <row r="132" spans="1:31" s="4" customFormat="1" ht="6" customHeight="1" x14ac:dyDescent="0.25">
      <c r="Z132" s="1"/>
    </row>
    <row r="133" spans="1:31" s="4" customFormat="1" ht="45" x14ac:dyDescent="0.25">
      <c r="C133" s="218">
        <v>2020</v>
      </c>
      <c r="D133" s="218">
        <v>2021</v>
      </c>
      <c r="E133" s="218">
        <v>2022</v>
      </c>
      <c r="F133" s="218">
        <v>2023</v>
      </c>
      <c r="G133" s="206" t="str">
        <f>CONCATENATE("var. ",RIGHT(F133,2),"/",RIGHT(E133,2))</f>
        <v>var. 23/22</v>
      </c>
      <c r="H133" s="206" t="str">
        <f>CONCATENATE("dif. ",RIGHT(F133,2),"/",RIGHT(E133,2))</f>
        <v>dif. 23/22</v>
      </c>
      <c r="I133" s="296" t="str">
        <f>CONCATENATE("%/s total Tenerife ",RIGHT(F133,4))</f>
        <v>%/s total Tenerife 2023</v>
      </c>
      <c r="J133" s="218">
        <v>2024</v>
      </c>
      <c r="K133" s="296" t="str">
        <f>CONCATENATE("%/s total Tenerife ",RIGHT(J133,4))</f>
        <v>%/s total Tenerife 2024</v>
      </c>
      <c r="L133" s="206" t="str">
        <f>CONCATENATE("var. ",RIGHT(J133,2),"/",RIGHT(F133,2))</f>
        <v>var. 24/23</v>
      </c>
      <c r="M133" s="206" t="str">
        <f>CONCATENATE("dif. ",RIGHT(J133,2),"/",RIGHT(F133,2))</f>
        <v>dif. 24/23</v>
      </c>
      <c r="N133" s="206" t="str">
        <f>CONCATENATE("var. ",RIGHT(J133,2),"/",RIGHT(D133,2))</f>
        <v>var. 24/21</v>
      </c>
      <c r="O133" s="206" t="str">
        <f>CONCATENATE("dif. ",RIGHT(J133,2),"/",RIGHT(D133,2))</f>
        <v>dif. 24/21</v>
      </c>
      <c r="Z133" s="1"/>
    </row>
    <row r="134" spans="1:31" ht="18.75" x14ac:dyDescent="0.3">
      <c r="A134" s="4"/>
      <c r="B134" s="277" t="s">
        <v>201</v>
      </c>
      <c r="C134" s="281">
        <v>6781</v>
      </c>
      <c r="D134" s="281">
        <v>11021</v>
      </c>
      <c r="E134" s="281">
        <v>9118</v>
      </c>
      <c r="F134" s="281">
        <v>11280</v>
      </c>
      <c r="G134" s="282">
        <f>F134/E134-1</f>
        <v>0.23711340206185572</v>
      </c>
      <c r="H134" s="281">
        <f>F134-E134</f>
        <v>2162</v>
      </c>
      <c r="I134" s="282">
        <f>F134/F$134</f>
        <v>1</v>
      </c>
      <c r="J134" s="281">
        <v>10812</v>
      </c>
      <c r="K134" s="282">
        <f>J134/J$134</f>
        <v>1</v>
      </c>
      <c r="L134" s="282">
        <f>J134/F134-1</f>
        <v>-4.1489361702127692E-2</v>
      </c>
      <c r="M134" s="281">
        <f>J134-F134</f>
        <v>-468</v>
      </c>
      <c r="N134" s="282">
        <f>J134/D134-1</f>
        <v>-1.8963796388712484E-2</v>
      </c>
      <c r="O134" s="281">
        <f>J134-D134</f>
        <v>-209</v>
      </c>
      <c r="Q134" s="37"/>
      <c r="R134" s="103"/>
      <c r="Z134" s="1" t="s">
        <v>179</v>
      </c>
      <c r="AE134"/>
    </row>
    <row r="135" spans="1:31" s="4" customFormat="1" x14ac:dyDescent="0.25">
      <c r="B135" s="299" t="s">
        <v>196</v>
      </c>
      <c r="C135" s="300">
        <v>6066</v>
      </c>
      <c r="D135" s="300">
        <v>8246</v>
      </c>
      <c r="E135" s="300">
        <v>6650</v>
      </c>
      <c r="F135" s="300">
        <v>8525</v>
      </c>
      <c r="G135" s="304">
        <f>IFERROR(F135/E135-1,"-")</f>
        <v>0.28195488721804507</v>
      </c>
      <c r="H135" s="300">
        <f t="shared" ref="H135:H138" si="14">F135-E135</f>
        <v>1875</v>
      </c>
      <c r="I135" s="302">
        <f>F135/F$134</f>
        <v>0.75576241134751776</v>
      </c>
      <c r="J135" s="300">
        <v>8441</v>
      </c>
      <c r="K135" s="301">
        <f t="shared" ref="K135:K138" si="15">J135/J$134</f>
        <v>0.78070662227155008</v>
      </c>
      <c r="L135" s="302">
        <f t="shared" ref="L135:L138" si="16">J135/F135-1</f>
        <v>-9.8533724340176265E-3</v>
      </c>
      <c r="M135" s="303">
        <f t="shared" ref="M135:M138" si="17">J135-F135</f>
        <v>-84</v>
      </c>
      <c r="N135" s="301">
        <f t="shared" ref="N135:N138" si="18">J135/D135-1</f>
        <v>2.364782925054576E-2</v>
      </c>
      <c r="O135" s="300">
        <f t="shared" ref="O135:O138" si="19">J135-D135</f>
        <v>195</v>
      </c>
      <c r="Q135" s="37"/>
      <c r="R135" s="103"/>
      <c r="Z135" s="1" t="s">
        <v>181</v>
      </c>
    </row>
    <row r="136" spans="1:31" s="4" customFormat="1" x14ac:dyDescent="0.25">
      <c r="B136" s="123" t="s">
        <v>64</v>
      </c>
      <c r="C136" s="306">
        <v>0</v>
      </c>
      <c r="D136" s="306">
        <v>0</v>
      </c>
      <c r="E136" s="306">
        <v>71</v>
      </c>
      <c r="F136" s="306">
        <v>0</v>
      </c>
      <c r="G136" s="310">
        <f t="shared" ref="G136:G138" si="20">IFERROR(F136/E136-1,"-")</f>
        <v>-1</v>
      </c>
      <c r="H136" s="306">
        <f t="shared" si="14"/>
        <v>-71</v>
      </c>
      <c r="I136" s="314">
        <f t="shared" ref="I136:I138" si="21">F136/F$134</f>
        <v>0</v>
      </c>
      <c r="J136" s="306">
        <v>0</v>
      </c>
      <c r="K136" s="312">
        <f t="shared" si="15"/>
        <v>0</v>
      </c>
      <c r="L136" s="314" t="e">
        <f t="shared" si="16"/>
        <v>#DIV/0!</v>
      </c>
      <c r="M136" s="313">
        <f t="shared" si="17"/>
        <v>0</v>
      </c>
      <c r="N136" s="312" t="e">
        <f t="shared" si="18"/>
        <v>#DIV/0!</v>
      </c>
      <c r="O136" s="306">
        <f t="shared" si="19"/>
        <v>0</v>
      </c>
      <c r="Q136" s="37"/>
      <c r="R136" s="103"/>
      <c r="Z136" s="1"/>
    </row>
    <row r="137" spans="1:31" s="4" customFormat="1" x14ac:dyDescent="0.25">
      <c r="B137" s="123" t="s">
        <v>63</v>
      </c>
      <c r="C137" s="306">
        <v>0</v>
      </c>
      <c r="D137" s="306">
        <v>8246</v>
      </c>
      <c r="E137" s="306">
        <v>6579</v>
      </c>
      <c r="F137" s="306">
        <v>8525</v>
      </c>
      <c r="G137" s="308">
        <f t="shared" si="20"/>
        <v>0.29578963368293043</v>
      </c>
      <c r="H137" s="306">
        <f t="shared" si="14"/>
        <v>1946</v>
      </c>
      <c r="I137" s="318">
        <f t="shared" si="21"/>
        <v>0.75576241134751776</v>
      </c>
      <c r="J137" s="306">
        <v>8441</v>
      </c>
      <c r="K137" s="312">
        <f t="shared" si="15"/>
        <v>0.78070662227155008</v>
      </c>
      <c r="L137" s="314">
        <f t="shared" si="16"/>
        <v>-9.8533724340176265E-3</v>
      </c>
      <c r="M137" s="313">
        <f t="shared" si="17"/>
        <v>-84</v>
      </c>
      <c r="N137" s="312">
        <f t="shared" si="18"/>
        <v>2.364782925054576E-2</v>
      </c>
      <c r="O137" s="306">
        <f t="shared" si="19"/>
        <v>195</v>
      </c>
      <c r="Q137" s="37"/>
      <c r="R137" s="103"/>
      <c r="Z137" s="1"/>
    </row>
    <row r="138" spans="1:31" s="4" customFormat="1" x14ac:dyDescent="0.25">
      <c r="B138" s="299" t="s">
        <v>197</v>
      </c>
      <c r="C138" s="300">
        <v>715</v>
      </c>
      <c r="D138" s="300">
        <v>2775</v>
      </c>
      <c r="E138" s="300">
        <v>2468</v>
      </c>
      <c r="F138" s="300">
        <v>2755</v>
      </c>
      <c r="G138" s="304">
        <f t="shared" si="20"/>
        <v>0.11628849270664499</v>
      </c>
      <c r="H138" s="300">
        <f t="shared" si="14"/>
        <v>287</v>
      </c>
      <c r="I138" s="302">
        <f t="shared" si="21"/>
        <v>0.24423758865248227</v>
      </c>
      <c r="J138" s="300">
        <v>2371</v>
      </c>
      <c r="K138" s="301">
        <f t="shared" si="15"/>
        <v>0.21929337772844987</v>
      </c>
      <c r="L138" s="302">
        <f t="shared" si="16"/>
        <v>-0.13938294010889296</v>
      </c>
      <c r="M138" s="303">
        <f t="shared" si="17"/>
        <v>-384</v>
      </c>
      <c r="N138" s="301">
        <f t="shared" si="18"/>
        <v>-0.14558558558558554</v>
      </c>
      <c r="O138" s="300">
        <f t="shared" si="19"/>
        <v>-404</v>
      </c>
      <c r="Q138" s="37"/>
      <c r="R138" s="103"/>
      <c r="Z138" s="1"/>
    </row>
    <row r="139" spans="1:31" s="4" customFormat="1" ht="7.5" customHeight="1" x14ac:dyDescent="0.25">
      <c r="B139" s="289"/>
      <c r="C139" s="289"/>
      <c r="D139" s="289"/>
      <c r="E139" s="289"/>
      <c r="F139" s="289"/>
      <c r="G139" s="289"/>
      <c r="H139" s="289"/>
      <c r="I139" s="289"/>
      <c r="J139" s="289"/>
      <c r="K139" s="289"/>
      <c r="L139" s="289"/>
      <c r="M139" s="289"/>
      <c r="N139" s="289"/>
      <c r="O139" s="289"/>
      <c r="Z139" s="1" t="s">
        <v>186</v>
      </c>
    </row>
    <row r="140" spans="1:31" s="4" customFormat="1" ht="32.25" customHeight="1" x14ac:dyDescent="0.25">
      <c r="B140" s="319" t="s">
        <v>200</v>
      </c>
      <c r="C140" s="319"/>
      <c r="D140" s="319"/>
      <c r="E140" s="319"/>
      <c r="F140" s="319"/>
      <c r="G140" s="319"/>
      <c r="H140" s="319"/>
      <c r="I140" s="319"/>
      <c r="J140" s="319"/>
      <c r="K140" s="319"/>
      <c r="L140" s="319"/>
      <c r="M140" s="319"/>
      <c r="N140" s="319"/>
      <c r="O140" s="319"/>
      <c r="Z140" s="1" t="s">
        <v>188</v>
      </c>
    </row>
    <row r="141" spans="1:31" x14ac:dyDescent="0.25">
      <c r="Z141" s="1"/>
      <c r="AE141"/>
    </row>
    <row r="142" spans="1:31" x14ac:dyDescent="0.25">
      <c r="Z142" s="1"/>
      <c r="AE142"/>
    </row>
  </sheetData>
  <mergeCells count="3">
    <mergeCell ref="B38:S38"/>
    <mergeCell ref="B48:S48"/>
    <mergeCell ref="B140:O14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10165-1656-40B3-B67F-80D7EAE65A26}">
  <sheetPr>
    <tabColor theme="4" tint="0.39997558519241921"/>
  </sheetPr>
  <dimension ref="A1:AE142"/>
  <sheetViews>
    <sheetView showGridLines="0" zoomScaleNormal="100" workbookViewId="0">
      <selection activeCell="G10" sqref="G10"/>
    </sheetView>
  </sheetViews>
  <sheetFormatPr baseColWidth="10" defaultRowHeight="15" x14ac:dyDescent="0.25"/>
  <cols>
    <col min="1" max="1" width="17.7109375" customWidth="1"/>
    <col min="2" max="2" width="33.5703125" customWidth="1"/>
    <col min="3" max="20" width="12.42578125" customWidth="1"/>
    <col min="27" max="27" width="14" hidden="1" customWidth="1"/>
    <col min="31" max="31" width="11.42578125" style="1"/>
  </cols>
  <sheetData>
    <row r="1" spans="1:31" ht="30" customHeight="1" x14ac:dyDescent="0.25">
      <c r="B1" s="1" t="s">
        <v>194</v>
      </c>
      <c r="G1" s="276"/>
      <c r="H1" s="276"/>
      <c r="I1" s="276"/>
      <c r="K1" s="276"/>
    </row>
    <row r="3" spans="1:31" s="4" customFormat="1" ht="25.5" customHeight="1" thickBot="1" x14ac:dyDescent="0.3">
      <c r="B3" s="85" t="s">
        <v>317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AE3" s="1"/>
    </row>
    <row r="4" spans="1:31" s="4" customFormat="1" ht="6" customHeight="1" x14ac:dyDescent="0.25">
      <c r="AE4" s="1"/>
    </row>
    <row r="5" spans="1:31" s="4" customFormat="1" ht="45" x14ac:dyDescent="0.25">
      <c r="C5" s="295" t="s">
        <v>265</v>
      </c>
      <c r="D5" s="295" t="s">
        <v>266</v>
      </c>
      <c r="E5" s="295" t="s">
        <v>267</v>
      </c>
      <c r="F5" s="296" t="str">
        <f>CONCATENATE("%/s total Tenerife ",RIGHT(E5,4))</f>
        <v>%/s total Tenerife 2022</v>
      </c>
      <c r="G5" s="295" t="s">
        <v>268</v>
      </c>
      <c r="H5" s="296" t="str">
        <f>CONCATENATE("var. ",RIGHT(G5,2),"/",RIGHT(E5,2))</f>
        <v>var. 23/22</v>
      </c>
      <c r="I5" s="296" t="str">
        <f>CONCATENATE("dif. ",RIGHT(G5,2),"/",RIGHT(E5,2))</f>
        <v>dif. 23/22</v>
      </c>
      <c r="J5" s="296" t="str">
        <f>CONCATENATE("%/s total Tenerife ",RIGHT(G5,4))</f>
        <v>%/s total Tenerife 2023</v>
      </c>
      <c r="K5" s="295" t="s">
        <v>269</v>
      </c>
      <c r="L5" s="296" t="str">
        <f>CONCATENATE("var. ",RIGHT(K5,2),"/",RIGHT(G5,2))</f>
        <v>var. 24/23</v>
      </c>
      <c r="M5" s="296" t="str">
        <f>CONCATENATE("dif. ",RIGHT(K5,2),"/",RIGHT(G5,2))</f>
        <v>dif. 24/23</v>
      </c>
      <c r="N5" s="296" t="str">
        <f>CONCATENATE("%/s total Tenerife ",RIGHT(K5,4))</f>
        <v>%/s total Tenerife 2024</v>
      </c>
      <c r="O5" s="295" t="s">
        <v>270</v>
      </c>
      <c r="P5" s="296" t="str">
        <f>CONCATENATE("var. ",RIGHT(O5,2),"/",RIGHT(K5,2))</f>
        <v>var. 25/24</v>
      </c>
      <c r="Q5" s="296" t="str">
        <f>CONCATENATE("dif. ",RIGHT(O5,2),"/",RIGHT(K5,2))</f>
        <v>dif. 25/24</v>
      </c>
      <c r="R5" s="296" t="str">
        <f>CONCATENATE("var. ",RIGHT(O5,2),"/",RIGHT(C5,2))</f>
        <v>var. 25/20</v>
      </c>
      <c r="S5" s="296" t="str">
        <f>CONCATENATE("dif. ",RIGHT(O5,2),"/",RIGHT(C5,2))</f>
        <v>dif. 25/20</v>
      </c>
      <c r="T5" s="296" t="str">
        <f>CONCATENATE("%/s total Tenerife ",RIGHT(O5,4))</f>
        <v>%/s total Tenerife 2025</v>
      </c>
      <c r="AE5" s="1"/>
    </row>
    <row r="6" spans="1:31" ht="18.75" x14ac:dyDescent="0.3">
      <c r="A6" s="4"/>
      <c r="B6" s="277" t="s">
        <v>203</v>
      </c>
      <c r="C6" s="297">
        <v>10065</v>
      </c>
      <c r="D6" s="297">
        <v>28597</v>
      </c>
      <c r="E6" s="297">
        <v>17244</v>
      </c>
      <c r="F6" s="298">
        <f>E6/$E$6</f>
        <v>1</v>
      </c>
      <c r="G6" s="297">
        <v>17464</v>
      </c>
      <c r="H6" s="298">
        <f>G6/E6-1</f>
        <v>1.2758060774762159E-2</v>
      </c>
      <c r="I6" s="297">
        <f>G6-E6</f>
        <v>220</v>
      </c>
      <c r="J6" s="298">
        <f>G6/$G$6</f>
        <v>1</v>
      </c>
      <c r="K6" s="297">
        <v>15005</v>
      </c>
      <c r="L6" s="298">
        <f t="shared" ref="L6:L12" si="0">K6/G6-1</f>
        <v>-0.14080393953275305</v>
      </c>
      <c r="M6" s="297">
        <f t="shared" ref="M6:M12" si="1">K6-G6</f>
        <v>-2459</v>
      </c>
      <c r="N6" s="298">
        <f>K6/$K$6</f>
        <v>1</v>
      </c>
      <c r="O6" s="297">
        <v>16291</v>
      </c>
      <c r="P6" s="298">
        <f t="shared" ref="P6:P11" si="2">O6/K6-1</f>
        <v>8.5704765078307155E-2</v>
      </c>
      <c r="Q6" s="297">
        <f t="shared" ref="Q6:Q12" si="3">O6-K6</f>
        <v>1286</v>
      </c>
      <c r="R6" s="298">
        <f>O6/C6-1</f>
        <v>0.61857923497267753</v>
      </c>
      <c r="S6" s="297">
        <f>O6-C6</f>
        <v>6226</v>
      </c>
      <c r="T6" s="298">
        <f>O6/$O$6</f>
        <v>1</v>
      </c>
      <c r="V6" s="37"/>
      <c r="W6" s="103"/>
      <c r="AE6" s="1" t="s">
        <v>179</v>
      </c>
    </row>
    <row r="7" spans="1:31" s="4" customFormat="1" x14ac:dyDescent="0.25">
      <c r="B7" s="299" t="s">
        <v>196</v>
      </c>
      <c r="C7" s="300">
        <v>7683</v>
      </c>
      <c r="D7" s="300">
        <v>24857</v>
      </c>
      <c r="E7" s="300">
        <v>12496</v>
      </c>
      <c r="F7" s="301">
        <f t="shared" ref="F7:F12" si="4">E7/$E$6</f>
        <v>0.72465785200649502</v>
      </c>
      <c r="G7" s="300">
        <v>12229</v>
      </c>
      <c r="H7" s="302">
        <f>G7/E7-1</f>
        <v>-2.1366837387964188E-2</v>
      </c>
      <c r="I7" s="303">
        <f>G7-E7</f>
        <v>-267</v>
      </c>
      <c r="J7" s="301">
        <f>G7/$G$6</f>
        <v>0.7002404947320201</v>
      </c>
      <c r="K7" s="300">
        <v>10288</v>
      </c>
      <c r="L7" s="304">
        <f t="shared" si="0"/>
        <v>-0.15872107285959602</v>
      </c>
      <c r="M7" s="305">
        <f t="shared" si="1"/>
        <v>-1941</v>
      </c>
      <c r="N7" s="301">
        <f>K7/$K$6</f>
        <v>0.68563812062645779</v>
      </c>
      <c r="O7" s="300">
        <v>11971</v>
      </c>
      <c r="P7" s="302">
        <f t="shared" si="2"/>
        <v>0.16358864696734066</v>
      </c>
      <c r="Q7" s="303">
        <f t="shared" si="3"/>
        <v>1683</v>
      </c>
      <c r="R7" s="302">
        <f t="shared" ref="R7:R10" si="5">O7/C7-1</f>
        <v>0.55811531953663929</v>
      </c>
      <c r="S7" s="303">
        <f t="shared" ref="S7:S10" si="6">O7-C7</f>
        <v>4288</v>
      </c>
      <c r="T7" s="301">
        <f>O7/$O$6</f>
        <v>0.73482290835430608</v>
      </c>
      <c r="V7" s="37"/>
      <c r="W7" s="103"/>
      <c r="AE7" s="1" t="s">
        <v>181</v>
      </c>
    </row>
    <row r="8" spans="1:31" s="4" customFormat="1" x14ac:dyDescent="0.25">
      <c r="B8" s="123" t="s">
        <v>64</v>
      </c>
      <c r="C8" s="306">
        <v>2454</v>
      </c>
      <c r="D8" s="306">
        <v>4622</v>
      </c>
      <c r="E8" s="306">
        <v>4385</v>
      </c>
      <c r="F8" s="307">
        <f t="shared" si="4"/>
        <v>0.25429134771514728</v>
      </c>
      <c r="G8" s="306">
        <v>5848</v>
      </c>
      <c r="H8" s="308">
        <f>IFERROR(G8/E8-1,"-")</f>
        <v>0.33363740022805022</v>
      </c>
      <c r="I8" s="309">
        <f t="shared" ref="I8:I12" si="7">G8-E8</f>
        <v>1463</v>
      </c>
      <c r="J8" s="307">
        <f t="shared" ref="J8:J12" si="8">G8/$G$6</f>
        <v>0.33486028401282636</v>
      </c>
      <c r="K8" s="306">
        <v>6251</v>
      </c>
      <c r="L8" s="310">
        <f>IFERROR(K8/G8-1,"-")</f>
        <v>6.8912448700410467E-2</v>
      </c>
      <c r="M8" s="311">
        <f>IF(G8=0,"nd",K8-G8)</f>
        <v>403</v>
      </c>
      <c r="N8" s="312">
        <f t="shared" ref="N8:N12" si="9">K8/$K$6</f>
        <v>0.41659446851049647</v>
      </c>
      <c r="O8" s="306">
        <v>2639</v>
      </c>
      <c r="P8" s="310">
        <f>IFERROR(O8/K8-1,"-")</f>
        <v>-0.57782754759238519</v>
      </c>
      <c r="Q8" s="313">
        <f t="shared" si="3"/>
        <v>-3612</v>
      </c>
      <c r="R8" s="310">
        <f>IFERROR(O8/C8-1,"-")</f>
        <v>7.5387123064384776E-2</v>
      </c>
      <c r="S8" s="313">
        <f t="shared" si="6"/>
        <v>185</v>
      </c>
      <c r="T8" s="312">
        <f t="shared" ref="T8:T12" si="10">O8/$O$6</f>
        <v>0.16199128353078387</v>
      </c>
      <c r="V8" s="37"/>
      <c r="W8" s="103"/>
      <c r="AE8" s="1"/>
    </row>
    <row r="9" spans="1:31" s="4" customFormat="1" x14ac:dyDescent="0.25">
      <c r="B9" s="123" t="s">
        <v>63</v>
      </c>
      <c r="C9" s="306">
        <v>3528</v>
      </c>
      <c r="D9" s="306">
        <v>5691</v>
      </c>
      <c r="E9" s="306">
        <v>8111</v>
      </c>
      <c r="F9" s="312">
        <f t="shared" si="4"/>
        <v>0.47036650429134774</v>
      </c>
      <c r="G9" s="306">
        <v>6381</v>
      </c>
      <c r="H9" s="308">
        <f>IFERROR(G9/E9-1,"-")</f>
        <v>-0.21329059302182218</v>
      </c>
      <c r="I9" s="313">
        <f t="shared" si="7"/>
        <v>-1730</v>
      </c>
      <c r="J9" s="312">
        <f t="shared" si="8"/>
        <v>0.36538021071919374</v>
      </c>
      <c r="K9" s="306">
        <v>4037</v>
      </c>
      <c r="L9" s="310">
        <f>IFERROR(K9/G9-1,"-")</f>
        <v>-0.36734054223475943</v>
      </c>
      <c r="M9" s="311">
        <f>IF(G9=0,"nd",K9-G9)</f>
        <v>-2344</v>
      </c>
      <c r="N9" s="312">
        <f t="shared" si="9"/>
        <v>0.26904365211596137</v>
      </c>
      <c r="O9" s="306">
        <v>9332</v>
      </c>
      <c r="P9" s="310">
        <f t="shared" si="2"/>
        <v>1.3116175377755761</v>
      </c>
      <c r="Q9" s="313">
        <f t="shared" si="3"/>
        <v>5295</v>
      </c>
      <c r="R9" s="314">
        <f t="shared" si="5"/>
        <v>1.6451247165532878</v>
      </c>
      <c r="S9" s="313">
        <f t="shared" si="6"/>
        <v>5804</v>
      </c>
      <c r="T9" s="312">
        <f t="shared" si="10"/>
        <v>0.57283162482352223</v>
      </c>
      <c r="V9" s="37"/>
      <c r="W9" s="103"/>
      <c r="AE9" s="1"/>
    </row>
    <row r="10" spans="1:31" s="4" customFormat="1" x14ac:dyDescent="0.25">
      <c r="B10" s="299" t="s">
        <v>197</v>
      </c>
      <c r="C10" s="315">
        <v>2382</v>
      </c>
      <c r="D10" s="315">
        <v>3740</v>
      </c>
      <c r="E10" s="315">
        <v>4748</v>
      </c>
      <c r="F10" s="316">
        <f>IFERROR(E10/$E$6,"-")</f>
        <v>0.27534214799350498</v>
      </c>
      <c r="G10" s="315">
        <v>5235</v>
      </c>
      <c r="H10" s="304">
        <f>IFERROR(G10/E10-1,"-")</f>
        <v>0.10256950294861</v>
      </c>
      <c r="I10" s="305">
        <f>IFERROR(G10-E10,"-")</f>
        <v>487</v>
      </c>
      <c r="J10" s="316">
        <f>IFERROR(G10/$G$6,"-")</f>
        <v>0.29975950526797984</v>
      </c>
      <c r="K10" s="315">
        <v>4717</v>
      </c>
      <c r="L10" s="304">
        <f>IFERROR(K10/G10-1,"-")</f>
        <v>-9.8949379178605579E-2</v>
      </c>
      <c r="M10" s="305">
        <f>IFERROR(K10-G10,"-")</f>
        <v>-518</v>
      </c>
      <c r="N10" s="316">
        <f>IFERROR(K10/$K$6,"-")</f>
        <v>0.31436187937354215</v>
      </c>
      <c r="O10" s="315">
        <v>4320</v>
      </c>
      <c r="P10" s="304">
        <f>IFERROR(O10/K10-1,"-")</f>
        <v>-8.416366334534664E-2</v>
      </c>
      <c r="Q10" s="305">
        <f>IFERROR(O10-K10,"-")</f>
        <v>-397</v>
      </c>
      <c r="R10" s="304">
        <f t="shared" si="5"/>
        <v>0.81360201511335006</v>
      </c>
      <c r="S10" s="305">
        <f t="shared" si="6"/>
        <v>1938</v>
      </c>
      <c r="T10" s="316">
        <f>IFERROR(O10/$O$6,"-")</f>
        <v>0.26517709164569392</v>
      </c>
      <c r="V10" s="37"/>
      <c r="W10" s="103"/>
      <c r="AE10" s="1"/>
    </row>
    <row r="11" spans="1:31" s="4" customFormat="1" hidden="1" x14ac:dyDescent="0.25">
      <c r="B11" s="123" t="s">
        <v>64</v>
      </c>
      <c r="C11" s="306">
        <v>2382</v>
      </c>
      <c r="D11" s="306">
        <v>3740</v>
      </c>
      <c r="E11" s="306">
        <v>4748</v>
      </c>
      <c r="F11" s="312">
        <f t="shared" si="4"/>
        <v>0.27534214799350498</v>
      </c>
      <c r="G11" s="306">
        <v>5235</v>
      </c>
      <c r="H11" s="314">
        <f t="shared" ref="H11:H12" si="11">G11/E11-1</f>
        <v>0.10256950294861</v>
      </c>
      <c r="I11" s="313">
        <f t="shared" si="7"/>
        <v>487</v>
      </c>
      <c r="J11" s="312">
        <f t="shared" si="8"/>
        <v>0.29975950526797984</v>
      </c>
      <c r="K11" s="306">
        <v>4717</v>
      </c>
      <c r="L11" s="310">
        <f>K11/G11-1</f>
        <v>-9.8949379178605579E-2</v>
      </c>
      <c r="M11" s="313">
        <f t="shared" si="1"/>
        <v>-518</v>
      </c>
      <c r="N11" s="312">
        <f t="shared" si="9"/>
        <v>0.31436187937354215</v>
      </c>
      <c r="O11" s="306">
        <v>0</v>
      </c>
      <c r="P11" s="314">
        <f t="shared" si="2"/>
        <v>-1</v>
      </c>
      <c r="Q11" s="313">
        <f t="shared" si="3"/>
        <v>-4717</v>
      </c>
      <c r="R11" s="314">
        <f t="shared" ref="R11:R12" si="12">O11/D11-1</f>
        <v>-1</v>
      </c>
      <c r="S11" s="313">
        <f t="shared" ref="S11:S12" si="13">O11-D11</f>
        <v>-3740</v>
      </c>
      <c r="T11" s="312">
        <f t="shared" si="10"/>
        <v>0</v>
      </c>
      <c r="V11" s="37"/>
      <c r="W11" s="103"/>
      <c r="AE11" s="1"/>
    </row>
    <row r="12" spans="1:31" s="4" customFormat="1" hidden="1" x14ac:dyDescent="0.25">
      <c r="B12" s="123" t="s">
        <v>63</v>
      </c>
      <c r="C12" s="306">
        <v>0</v>
      </c>
      <c r="D12" s="306">
        <v>0</v>
      </c>
      <c r="E12" s="306">
        <v>0</v>
      </c>
      <c r="F12" s="312">
        <f t="shared" si="4"/>
        <v>0</v>
      </c>
      <c r="G12" s="306">
        <v>0</v>
      </c>
      <c r="H12" s="314" t="e">
        <f t="shared" si="11"/>
        <v>#DIV/0!</v>
      </c>
      <c r="I12" s="313">
        <f t="shared" si="7"/>
        <v>0</v>
      </c>
      <c r="J12" s="312">
        <f t="shared" si="8"/>
        <v>0</v>
      </c>
      <c r="K12" s="306">
        <v>0</v>
      </c>
      <c r="L12" s="310" t="e">
        <f t="shared" si="0"/>
        <v>#DIV/0!</v>
      </c>
      <c r="M12" s="313">
        <f t="shared" si="1"/>
        <v>0</v>
      </c>
      <c r="N12" s="312">
        <f t="shared" si="9"/>
        <v>0</v>
      </c>
      <c r="O12" s="306">
        <v>0</v>
      </c>
      <c r="P12" s="314" t="e">
        <f>O12/K12-1</f>
        <v>#DIV/0!</v>
      </c>
      <c r="Q12" s="313">
        <f t="shared" si="3"/>
        <v>0</v>
      </c>
      <c r="R12" s="314" t="e">
        <f t="shared" si="12"/>
        <v>#DIV/0!</v>
      </c>
      <c r="S12" s="313">
        <f t="shared" si="13"/>
        <v>0</v>
      </c>
      <c r="T12" s="312">
        <f t="shared" si="10"/>
        <v>0</v>
      </c>
      <c r="V12" s="37"/>
      <c r="W12" s="103"/>
      <c r="AE12" s="1"/>
    </row>
    <row r="13" spans="1:31" s="4" customFormat="1" ht="7.5" customHeight="1" x14ac:dyDescent="0.25">
      <c r="B13" s="289"/>
      <c r="C13" s="289"/>
      <c r="D13" s="289"/>
      <c r="E13" s="289"/>
      <c r="F13" s="289"/>
      <c r="G13" s="289"/>
      <c r="H13" s="289"/>
      <c r="I13" s="289"/>
      <c r="J13" s="289"/>
      <c r="K13" s="289"/>
      <c r="L13" s="317"/>
      <c r="M13" s="289"/>
      <c r="N13" s="289"/>
      <c r="O13" s="289"/>
      <c r="P13" s="289"/>
      <c r="Q13" s="289"/>
      <c r="R13" s="289"/>
      <c r="S13" s="289"/>
      <c r="T13" s="289"/>
      <c r="AE13" s="1" t="s">
        <v>186</v>
      </c>
    </row>
    <row r="14" spans="1:31" s="4" customFormat="1" x14ac:dyDescent="0.25">
      <c r="B14" s="202" t="s">
        <v>187</v>
      </c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2"/>
      <c r="Q14" s="202"/>
      <c r="R14" s="202"/>
      <c r="S14" s="202"/>
      <c r="T14" s="202"/>
      <c r="AE14" s="1" t="s">
        <v>188</v>
      </c>
    </row>
    <row r="15" spans="1:31" s="4" customFormat="1" x14ac:dyDescent="0.25">
      <c r="AE15" s="1"/>
    </row>
    <row r="19" spans="27:27" x14ac:dyDescent="0.25">
      <c r="AA19" t="str">
        <f>CONCATENATE("Hoteles: 
",FIXED(O7,0)," viajeros 
cuota: ",FIXED(T7*100,1),"%")</f>
        <v>Hoteles: 
11.971 viajeros 
cuota: 73,5%</v>
      </c>
    </row>
    <row r="20" spans="27:27" x14ac:dyDescent="0.25">
      <c r="AA20" t="str">
        <f>CONCATENATE("Apartamentos: 
",FIXED(O10,0)," viajeros
cuota: ",FIXED(T10*100,1),"%")</f>
        <v>Apartamentos: 
4.320 viajeros
cuota: 26,5%</v>
      </c>
    </row>
    <row r="38" spans="2:31" s="4" customFormat="1" ht="15.75" hidden="1" customHeight="1" thickBot="1" x14ac:dyDescent="0.3">
      <c r="B38" s="12" t="s">
        <v>189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07"/>
      <c r="AE38" s="1"/>
    </row>
    <row r="39" spans="2:31" s="4" customFormat="1" ht="6" hidden="1" customHeight="1" thickBot="1" x14ac:dyDescent="0.3">
      <c r="AE39" s="1"/>
    </row>
    <row r="40" spans="2:31" s="4" customFormat="1" ht="30" hidden="1" x14ac:dyDescent="0.25">
      <c r="C40" s="112"/>
      <c r="D40" s="112"/>
      <c r="E40" s="112"/>
      <c r="F40" s="112"/>
      <c r="G40" s="112"/>
      <c r="H40" s="112"/>
      <c r="I40" s="112"/>
      <c r="J40" s="112"/>
      <c r="K40" s="15">
        <v>2020</v>
      </c>
      <c r="L40" s="15"/>
      <c r="M40" s="15"/>
      <c r="N40" s="15" t="s">
        <v>190</v>
      </c>
      <c r="O40" s="15">
        <v>2021</v>
      </c>
      <c r="P40" s="15" t="s">
        <v>190</v>
      </c>
      <c r="Q40" s="15" t="s">
        <v>191</v>
      </c>
      <c r="R40" s="15" t="s">
        <v>192</v>
      </c>
      <c r="S40" s="15" t="s">
        <v>193</v>
      </c>
      <c r="T40" s="112"/>
      <c r="AE40" s="1"/>
    </row>
    <row r="41" spans="2:31" s="4" customFormat="1" ht="18.75" hidden="1" x14ac:dyDescent="0.3">
      <c r="B41" s="277" t="s">
        <v>177</v>
      </c>
      <c r="C41" s="278"/>
      <c r="D41" s="278"/>
      <c r="E41" s="278"/>
      <c r="F41" s="278"/>
      <c r="G41" s="278"/>
      <c r="H41" s="278"/>
      <c r="I41" s="278"/>
      <c r="J41" s="278"/>
      <c r="K41" s="278">
        <v>1824653</v>
      </c>
      <c r="L41" s="278"/>
      <c r="M41" s="278"/>
      <c r="N41" s="279"/>
      <c r="O41" s="278">
        <v>2354005</v>
      </c>
      <c r="P41" s="279"/>
      <c r="Q41" s="279">
        <v>1</v>
      </c>
      <c r="R41" s="279">
        <v>0.2901110512519367</v>
      </c>
      <c r="S41" s="278">
        <v>529352</v>
      </c>
      <c r="T41" s="290"/>
      <c r="AE41" s="1"/>
    </row>
    <row r="42" spans="2:31" ht="18.75" hidden="1" x14ac:dyDescent="0.3">
      <c r="B42" s="277" t="s">
        <v>178</v>
      </c>
      <c r="C42" s="278"/>
      <c r="D42" s="278"/>
      <c r="E42" s="278"/>
      <c r="F42" s="278"/>
      <c r="G42" s="278"/>
      <c r="H42" s="278"/>
      <c r="I42" s="278"/>
      <c r="J42" s="278"/>
      <c r="K42" s="278">
        <v>603938</v>
      </c>
      <c r="L42" s="278"/>
      <c r="M42" s="278"/>
      <c r="N42" s="279">
        <v>1</v>
      </c>
      <c r="O42" s="278">
        <v>936181</v>
      </c>
      <c r="P42" s="279">
        <v>1</v>
      </c>
      <c r="Q42" s="279">
        <v>0.39769711619134201</v>
      </c>
      <c r="R42" s="279">
        <v>0.55012766211101138</v>
      </c>
      <c r="S42" s="278">
        <v>332243</v>
      </c>
      <c r="T42" s="290"/>
      <c r="AE42" s="1" t="s">
        <v>179</v>
      </c>
    </row>
    <row r="43" spans="2:31" ht="15.75" hidden="1" x14ac:dyDescent="0.25">
      <c r="B43" s="280" t="s">
        <v>102</v>
      </c>
      <c r="C43" s="281"/>
      <c r="D43" s="281"/>
      <c r="E43" s="281"/>
      <c r="F43" s="281"/>
      <c r="G43" s="281"/>
      <c r="H43" s="281"/>
      <c r="I43" s="281"/>
      <c r="J43" s="281"/>
      <c r="K43" s="281">
        <v>276550.36166633503</v>
      </c>
      <c r="L43" s="281"/>
      <c r="M43" s="281"/>
      <c r="N43" s="282">
        <v>0.45791184139155844</v>
      </c>
      <c r="O43" s="281">
        <v>430252.45635520399</v>
      </c>
      <c r="P43" s="282">
        <v>0.4595825554622493</v>
      </c>
      <c r="Q43" s="282">
        <v>0.18277465695918402</v>
      </c>
      <c r="R43" s="282">
        <v>0.55578337978930015</v>
      </c>
      <c r="S43" s="281">
        <v>153702.09468886897</v>
      </c>
      <c r="T43" s="291"/>
      <c r="AE43" s="1" t="s">
        <v>180</v>
      </c>
    </row>
    <row r="44" spans="2:31" s="4" customFormat="1" hidden="1" x14ac:dyDescent="0.25">
      <c r="B44" s="283" t="s">
        <v>105</v>
      </c>
      <c r="C44" s="284"/>
      <c r="D44" s="284"/>
      <c r="E44" s="284"/>
      <c r="F44" s="284"/>
      <c r="G44" s="284"/>
      <c r="H44" s="284"/>
      <c r="I44" s="284"/>
      <c r="J44" s="284"/>
      <c r="K44" s="284">
        <v>327387.63833385095</v>
      </c>
      <c r="L44" s="284"/>
      <c r="M44" s="284"/>
      <c r="N44" s="287">
        <v>0.54208815860874948</v>
      </c>
      <c r="O44" s="284">
        <v>505927.5436448183</v>
      </c>
      <c r="P44" s="287">
        <v>0.54041637636826456</v>
      </c>
      <c r="Q44" s="287">
        <v>0.21492203442423372</v>
      </c>
      <c r="R44" s="285">
        <v>0.54534711884540576</v>
      </c>
      <c r="S44" s="286">
        <v>178539.90531096736</v>
      </c>
      <c r="T44" s="293"/>
      <c r="AE44" s="1" t="s">
        <v>181</v>
      </c>
    </row>
    <row r="45" spans="2:31" s="4" customFormat="1" hidden="1" x14ac:dyDescent="0.25">
      <c r="B45" s="288" t="s">
        <v>182</v>
      </c>
      <c r="C45" s="37"/>
      <c r="D45" s="37"/>
      <c r="E45" s="37"/>
      <c r="F45" s="37"/>
      <c r="G45" s="37"/>
      <c r="H45" s="37"/>
      <c r="I45" s="37"/>
      <c r="J45" s="37"/>
      <c r="K45" s="37">
        <v>242109.12821622068</v>
      </c>
      <c r="L45" s="37"/>
      <c r="M45" s="37"/>
      <c r="N45" s="39">
        <v>0.4008840778626625</v>
      </c>
      <c r="O45" s="37">
        <v>391384.01224089495</v>
      </c>
      <c r="P45" s="39">
        <v>0.41806446855992052</v>
      </c>
      <c r="Q45" s="39">
        <v>0.16626303352834634</v>
      </c>
      <c r="R45" s="27">
        <v>0.61656033014732592</v>
      </c>
      <c r="S45" s="25">
        <v>149274.88402467428</v>
      </c>
      <c r="T45" s="25"/>
      <c r="AE45" s="1" t="s">
        <v>183</v>
      </c>
    </row>
    <row r="46" spans="2:31" s="4" customFormat="1" hidden="1" x14ac:dyDescent="0.25">
      <c r="B46" s="288" t="s">
        <v>184</v>
      </c>
      <c r="C46" s="37"/>
      <c r="D46" s="37"/>
      <c r="E46" s="37"/>
      <c r="F46" s="37"/>
      <c r="G46" s="37"/>
      <c r="H46" s="37"/>
      <c r="I46" s="37"/>
      <c r="J46" s="37"/>
      <c r="K46" s="37">
        <v>85278.510117630256</v>
      </c>
      <c r="L46" s="37"/>
      <c r="M46" s="37"/>
      <c r="N46" s="39">
        <v>0.14120408074608695</v>
      </c>
      <c r="O46" s="37">
        <v>114543.53140392336</v>
      </c>
      <c r="P46" s="39">
        <v>0.12235190780834407</v>
      </c>
      <c r="Q46" s="39">
        <v>4.8659000895887379E-2</v>
      </c>
      <c r="R46" s="27">
        <v>0.34316994100771625</v>
      </c>
      <c r="S46" s="25">
        <v>29265.021286293108</v>
      </c>
      <c r="T46" s="25"/>
      <c r="AE46" s="1" t="s">
        <v>185</v>
      </c>
    </row>
    <row r="47" spans="2:31" s="4" customFormat="1" ht="7.5" hidden="1" customHeight="1" x14ac:dyDescent="0.25">
      <c r="B47" s="289"/>
      <c r="C47" s="289"/>
      <c r="D47" s="289"/>
      <c r="E47" s="289"/>
      <c r="F47" s="289"/>
      <c r="G47" s="289"/>
      <c r="H47" s="289"/>
      <c r="I47" s="289"/>
      <c r="J47" s="289"/>
      <c r="K47" s="289"/>
      <c r="L47" s="289"/>
      <c r="M47" s="289"/>
      <c r="N47" s="289"/>
      <c r="O47" s="289"/>
      <c r="P47" s="289"/>
      <c r="Q47" s="289"/>
      <c r="R47" s="289"/>
      <c r="S47" s="289"/>
      <c r="AE47" s="1" t="s">
        <v>186</v>
      </c>
    </row>
    <row r="48" spans="2:31" s="4" customFormat="1" hidden="1" x14ac:dyDescent="0.25">
      <c r="B48" s="66" t="s">
        <v>187</v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294"/>
      <c r="AE48" s="1" t="s">
        <v>188</v>
      </c>
    </row>
    <row r="49" spans="3:31" s="4" customFormat="1" hidden="1" x14ac:dyDescent="0.25">
      <c r="AE49" s="1"/>
    </row>
    <row r="50" spans="3:31" hidden="1" x14ac:dyDescent="0.25">
      <c r="C50" s="153"/>
      <c r="D50" s="153"/>
      <c r="E50" s="153"/>
      <c r="F50" s="153"/>
      <c r="G50" s="153"/>
      <c r="H50" s="153"/>
      <c r="I50" s="153"/>
      <c r="J50" s="153"/>
      <c r="K50" s="153">
        <v>0.54208815860874948</v>
      </c>
      <c r="L50" s="153"/>
      <c r="M50" s="153"/>
    </row>
    <row r="51" spans="3:31" hidden="1" x14ac:dyDescent="0.25"/>
    <row r="52" spans="3:31" hidden="1" x14ac:dyDescent="0.25"/>
    <row r="53" spans="3:31" hidden="1" x14ac:dyDescent="0.25"/>
    <row r="54" spans="3:31" hidden="1" x14ac:dyDescent="0.25"/>
    <row r="55" spans="3:31" hidden="1" x14ac:dyDescent="0.25"/>
    <row r="56" spans="3:31" hidden="1" x14ac:dyDescent="0.25"/>
    <row r="57" spans="3:31" hidden="1" x14ac:dyDescent="0.25"/>
    <row r="58" spans="3:31" hidden="1" x14ac:dyDescent="0.25"/>
    <row r="59" spans="3:31" hidden="1" x14ac:dyDescent="0.25"/>
    <row r="60" spans="3:31" hidden="1" x14ac:dyDescent="0.25"/>
    <row r="61" spans="3:31" hidden="1" x14ac:dyDescent="0.25"/>
    <row r="62" spans="3:31" hidden="1" x14ac:dyDescent="0.25"/>
    <row r="63" spans="3:31" hidden="1" x14ac:dyDescent="0.25"/>
    <row r="64" spans="3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31" spans="1:31" s="4" customFormat="1" ht="25.5" customHeight="1" thickBot="1" x14ac:dyDescent="0.3">
      <c r="B131" s="85" t="s">
        <v>204</v>
      </c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Z131" s="1"/>
    </row>
    <row r="132" spans="1:31" s="4" customFormat="1" ht="6" customHeight="1" x14ac:dyDescent="0.25">
      <c r="Z132" s="1"/>
    </row>
    <row r="133" spans="1:31" s="4" customFormat="1" ht="45" x14ac:dyDescent="0.25">
      <c r="C133" s="218">
        <v>2020</v>
      </c>
      <c r="D133" s="218">
        <v>2021</v>
      </c>
      <c r="E133" s="218">
        <v>2022</v>
      </c>
      <c r="F133" s="218">
        <v>2023</v>
      </c>
      <c r="G133" s="206" t="str">
        <f>CONCATENATE("var. ",RIGHT(F133,2),"/",RIGHT(E133,2))</f>
        <v>var. 23/22</v>
      </c>
      <c r="H133" s="206" t="str">
        <f>CONCATENATE("dif. ",RIGHT(F133,2),"/",RIGHT(E133,2))</f>
        <v>dif. 23/22</v>
      </c>
      <c r="I133" s="296" t="str">
        <f>CONCATENATE("%/s total Tenerife ",RIGHT(F133,4))</f>
        <v>%/s total Tenerife 2023</v>
      </c>
      <c r="J133" s="218">
        <v>2024</v>
      </c>
      <c r="K133" s="296" t="str">
        <f>CONCATENATE("%/s total Tenerife ",RIGHT(J133,4))</f>
        <v>%/s total Tenerife 2024</v>
      </c>
      <c r="L133" s="206" t="str">
        <f>CONCATENATE("var. ",RIGHT(J133,2),"/",RIGHT(F133,2))</f>
        <v>var. 24/23</v>
      </c>
      <c r="M133" s="206" t="str">
        <f>CONCATENATE("dif. ",RIGHT(J133,2),"/",RIGHT(F133,2))</f>
        <v>dif. 24/23</v>
      </c>
      <c r="N133" s="206" t="str">
        <f>CONCATENATE("var. ",RIGHT(J133,2),"/",RIGHT(D133,2))</f>
        <v>var. 24/21</v>
      </c>
      <c r="O133" s="206" t="str">
        <f>CONCATENATE("dif. ",RIGHT(J133,2),"/",RIGHT(D133,2))</f>
        <v>dif. 24/21</v>
      </c>
      <c r="Z133" s="1"/>
    </row>
    <row r="134" spans="1:31" ht="18.75" x14ac:dyDescent="0.3">
      <c r="A134" s="4"/>
      <c r="B134" s="277" t="s">
        <v>203</v>
      </c>
      <c r="C134" s="281">
        <v>20058</v>
      </c>
      <c r="D134" s="281">
        <v>34195</v>
      </c>
      <c r="E134" s="281">
        <v>19943</v>
      </c>
      <c r="F134" s="281">
        <v>20738</v>
      </c>
      <c r="G134" s="282">
        <f>F134/E134-1</f>
        <v>3.9863611292182632E-2</v>
      </c>
      <c r="H134" s="281">
        <f>F134-E134</f>
        <v>795</v>
      </c>
      <c r="I134" s="282">
        <f>F134/F$134</f>
        <v>1</v>
      </c>
      <c r="J134" s="281">
        <v>18376</v>
      </c>
      <c r="K134" s="282">
        <f>J134/J$134</f>
        <v>1</v>
      </c>
      <c r="L134" s="282">
        <f>J134/F134-1</f>
        <v>-0.1138971935577201</v>
      </c>
      <c r="M134" s="281">
        <f>J134-F134</f>
        <v>-2362</v>
      </c>
      <c r="N134" s="282">
        <f>J134/D134-1</f>
        <v>-0.46261149290831993</v>
      </c>
      <c r="O134" s="281">
        <f>J134-D134</f>
        <v>-15819</v>
      </c>
      <c r="Q134" s="37"/>
      <c r="R134" s="103"/>
      <c r="Z134" s="1" t="s">
        <v>179</v>
      </c>
      <c r="AE134"/>
    </row>
    <row r="135" spans="1:31" s="4" customFormat="1" x14ac:dyDescent="0.25">
      <c r="B135" s="299" t="s">
        <v>196</v>
      </c>
      <c r="C135" s="300">
        <v>16366</v>
      </c>
      <c r="D135" s="300">
        <v>29524</v>
      </c>
      <c r="E135" s="300">
        <v>14679</v>
      </c>
      <c r="F135" s="300">
        <v>14638</v>
      </c>
      <c r="G135" s="304">
        <f>IFERROR(F135/E135-1,"-")</f>
        <v>-2.7931057973976658E-3</v>
      </c>
      <c r="H135" s="300">
        <f t="shared" ref="H135:H138" si="14">F135-E135</f>
        <v>-41</v>
      </c>
      <c r="I135" s="302">
        <f>F135/F$134</f>
        <v>0.70585398784839426</v>
      </c>
      <c r="J135" s="300">
        <v>13022</v>
      </c>
      <c r="K135" s="301">
        <f t="shared" ref="K135:K138" si="15">J135/J$134</f>
        <v>0.70864170657379189</v>
      </c>
      <c r="L135" s="302">
        <f t="shared" ref="L135:L138" si="16">J135/F135-1</f>
        <v>-0.11039759529990434</v>
      </c>
      <c r="M135" s="303">
        <f t="shared" ref="M135:M138" si="17">J135-F135</f>
        <v>-1616</v>
      </c>
      <c r="N135" s="301">
        <f t="shared" ref="N135:N138" si="18">J135/D135-1</f>
        <v>-0.55893510364449261</v>
      </c>
      <c r="O135" s="300">
        <f t="shared" ref="O135:O138" si="19">J135-D135</f>
        <v>-16502</v>
      </c>
      <c r="Q135" s="37"/>
      <c r="R135" s="103"/>
      <c r="Z135" s="1" t="s">
        <v>181</v>
      </c>
    </row>
    <row r="136" spans="1:31" s="4" customFormat="1" x14ac:dyDescent="0.25">
      <c r="B136" s="123" t="s">
        <v>64</v>
      </c>
      <c r="C136" s="306">
        <v>0</v>
      </c>
      <c r="D136" s="306">
        <v>9339</v>
      </c>
      <c r="E136" s="306">
        <v>5415</v>
      </c>
      <c r="F136" s="306">
        <v>7999</v>
      </c>
      <c r="G136" s="310">
        <f t="shared" ref="G136:G138" si="20">IFERROR(F136/E136-1,"-")</f>
        <v>0.47719298245614028</v>
      </c>
      <c r="H136" s="306">
        <f t="shared" si="14"/>
        <v>2584</v>
      </c>
      <c r="I136" s="314">
        <f t="shared" ref="I136:I138" si="21">F136/F$134</f>
        <v>0.3857170411804417</v>
      </c>
      <c r="J136" s="306">
        <v>6701</v>
      </c>
      <c r="K136" s="312">
        <f t="shared" si="15"/>
        <v>0.364660426643448</v>
      </c>
      <c r="L136" s="314">
        <f t="shared" si="16"/>
        <v>-0.16227028378547315</v>
      </c>
      <c r="M136" s="313">
        <f t="shared" si="17"/>
        <v>-1298</v>
      </c>
      <c r="N136" s="312">
        <f t="shared" si="18"/>
        <v>-0.28247135667630363</v>
      </c>
      <c r="O136" s="306">
        <f t="shared" si="19"/>
        <v>-2638</v>
      </c>
      <c r="Q136" s="37"/>
      <c r="R136" s="103"/>
      <c r="Z136" s="1"/>
    </row>
    <row r="137" spans="1:31" s="4" customFormat="1" x14ac:dyDescent="0.25">
      <c r="B137" s="123" t="s">
        <v>63</v>
      </c>
      <c r="C137" s="306">
        <v>0</v>
      </c>
      <c r="D137" s="306">
        <v>20185</v>
      </c>
      <c r="E137" s="306">
        <v>9264</v>
      </c>
      <c r="F137" s="306">
        <v>6639</v>
      </c>
      <c r="G137" s="308">
        <f t="shared" si="20"/>
        <v>-0.28335492227979275</v>
      </c>
      <c r="H137" s="306">
        <f t="shared" si="14"/>
        <v>-2625</v>
      </c>
      <c r="I137" s="318">
        <f t="shared" si="21"/>
        <v>0.32013694666795256</v>
      </c>
      <c r="J137" s="306">
        <v>6321</v>
      </c>
      <c r="K137" s="312">
        <f t="shared" si="15"/>
        <v>0.34398127993034394</v>
      </c>
      <c r="L137" s="314">
        <f t="shared" si="16"/>
        <v>-4.7898779936737412E-2</v>
      </c>
      <c r="M137" s="313">
        <f t="shared" si="17"/>
        <v>-318</v>
      </c>
      <c r="N137" s="312">
        <f t="shared" si="18"/>
        <v>-0.68684666831805796</v>
      </c>
      <c r="O137" s="306">
        <f t="shared" si="19"/>
        <v>-13864</v>
      </c>
      <c r="Q137" s="37"/>
      <c r="R137" s="103"/>
      <c r="Z137" s="1"/>
    </row>
    <row r="138" spans="1:31" s="4" customFormat="1" x14ac:dyDescent="0.25">
      <c r="B138" s="299" t="s">
        <v>197</v>
      </c>
      <c r="C138" s="300">
        <v>3692</v>
      </c>
      <c r="D138" s="300">
        <v>4671</v>
      </c>
      <c r="E138" s="300">
        <v>5264</v>
      </c>
      <c r="F138" s="300">
        <v>6100</v>
      </c>
      <c r="G138" s="304">
        <f t="shared" si="20"/>
        <v>0.15881458966565343</v>
      </c>
      <c r="H138" s="300">
        <f t="shared" si="14"/>
        <v>836</v>
      </c>
      <c r="I138" s="302">
        <f t="shared" si="21"/>
        <v>0.29414601215160574</v>
      </c>
      <c r="J138" s="300">
        <v>5354</v>
      </c>
      <c r="K138" s="301">
        <f t="shared" si="15"/>
        <v>0.29135829342620811</v>
      </c>
      <c r="L138" s="302">
        <f t="shared" si="16"/>
        <v>-0.12229508196721306</v>
      </c>
      <c r="M138" s="303">
        <f t="shared" si="17"/>
        <v>-746</v>
      </c>
      <c r="N138" s="301">
        <f t="shared" si="18"/>
        <v>0.14622136587454504</v>
      </c>
      <c r="O138" s="300">
        <f t="shared" si="19"/>
        <v>683</v>
      </c>
      <c r="Q138" s="37"/>
      <c r="R138" s="103"/>
      <c r="Z138" s="1"/>
    </row>
    <row r="139" spans="1:31" s="4" customFormat="1" ht="7.5" customHeight="1" x14ac:dyDescent="0.25">
      <c r="B139" s="289"/>
      <c r="C139" s="289"/>
      <c r="D139" s="289"/>
      <c r="E139" s="289"/>
      <c r="F139" s="289"/>
      <c r="G139" s="289"/>
      <c r="H139" s="289"/>
      <c r="I139" s="289"/>
      <c r="J139" s="289"/>
      <c r="K139" s="289"/>
      <c r="L139" s="289"/>
      <c r="M139" s="289"/>
      <c r="N139" s="289"/>
      <c r="O139" s="289"/>
      <c r="Z139" s="1" t="s">
        <v>186</v>
      </c>
    </row>
    <row r="140" spans="1:31" s="4" customFormat="1" ht="32.25" customHeight="1" x14ac:dyDescent="0.25">
      <c r="B140" s="319" t="s">
        <v>200</v>
      </c>
      <c r="C140" s="319"/>
      <c r="D140" s="319"/>
      <c r="E140" s="319"/>
      <c r="F140" s="319"/>
      <c r="G140" s="319"/>
      <c r="H140" s="319"/>
      <c r="I140" s="319"/>
      <c r="J140" s="319"/>
      <c r="K140" s="319"/>
      <c r="L140" s="319"/>
      <c r="M140" s="319"/>
      <c r="N140" s="319"/>
      <c r="O140" s="319"/>
      <c r="Z140" s="1" t="s">
        <v>188</v>
      </c>
    </row>
    <row r="141" spans="1:31" x14ac:dyDescent="0.25">
      <c r="Z141" s="1"/>
      <c r="AE141"/>
    </row>
    <row r="142" spans="1:31" x14ac:dyDescent="0.25">
      <c r="Z142" s="1"/>
      <c r="AE142"/>
    </row>
  </sheetData>
  <mergeCells count="3">
    <mergeCell ref="B38:S38"/>
    <mergeCell ref="B48:S48"/>
    <mergeCell ref="B140:O14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FD571-CAB3-481F-A401-0A46D878F5D0}">
  <sheetPr>
    <tabColor theme="4" tint="0.39997558519241921"/>
  </sheetPr>
  <dimension ref="A1:AE149"/>
  <sheetViews>
    <sheetView showGridLines="0" zoomScaleNormal="100" workbookViewId="0">
      <selection activeCell="G10" sqref="G10"/>
    </sheetView>
  </sheetViews>
  <sheetFormatPr baseColWidth="10" defaultRowHeight="15" x14ac:dyDescent="0.25"/>
  <cols>
    <col min="1" max="1" width="17.7109375" customWidth="1"/>
    <col min="2" max="2" width="33.5703125" customWidth="1"/>
    <col min="3" max="13" width="14.7109375" customWidth="1"/>
    <col min="14" max="14" width="11.42578125" customWidth="1"/>
    <col min="15" max="15" width="14.7109375" customWidth="1"/>
    <col min="27" max="27" width="14" customWidth="1"/>
    <col min="31" max="31" width="11.42578125" style="1"/>
  </cols>
  <sheetData>
    <row r="1" spans="1:31" ht="30" customHeight="1" x14ac:dyDescent="0.25">
      <c r="B1" s="1" t="s">
        <v>205</v>
      </c>
      <c r="G1" s="276"/>
      <c r="H1" s="276"/>
      <c r="I1" s="276"/>
      <c r="K1" s="276"/>
    </row>
    <row r="3" spans="1:31" s="4" customFormat="1" ht="25.5" customHeight="1" thickBot="1" x14ac:dyDescent="0.3">
      <c r="B3" s="85" t="s">
        <v>29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AE3" s="1"/>
    </row>
    <row r="4" spans="1:31" s="4" customFormat="1" ht="6" customHeight="1" x14ac:dyDescent="0.25">
      <c r="AE4" s="1"/>
    </row>
    <row r="5" spans="1:31" s="4" customFormat="1" ht="45" x14ac:dyDescent="0.25">
      <c r="C5" s="295" t="s">
        <v>265</v>
      </c>
      <c r="D5" s="295" t="s">
        <v>266</v>
      </c>
      <c r="E5" s="295" t="s">
        <v>267</v>
      </c>
      <c r="F5" s="296" t="str">
        <f>CONCATENATE("%/s total Tenerife ",RIGHT(E5,4))</f>
        <v>%/s total Tenerife 2022</v>
      </c>
      <c r="G5" s="295" t="s">
        <v>268</v>
      </c>
      <c r="H5" s="296" t="str">
        <f>CONCATENATE("var. ",RIGHT(G5,2),"/",RIGHT(E5,2))</f>
        <v>var. 23/22</v>
      </c>
      <c r="I5" s="296" t="str">
        <f>CONCATENATE("dif. ",RIGHT(G5,2),"/",RIGHT(E5,2))</f>
        <v>dif. 23/22</v>
      </c>
      <c r="J5" s="296" t="str">
        <f>CONCATENATE("%/s total Tenerife ",RIGHT(G5,4))</f>
        <v>%/s total Tenerife 2023</v>
      </c>
      <c r="K5" s="295" t="s">
        <v>269</v>
      </c>
      <c r="L5" s="296" t="str">
        <f>CONCATENATE("var. ",RIGHT(K5,2),"/",RIGHT(G5,2))</f>
        <v>var. 24/23</v>
      </c>
      <c r="M5" s="296" t="str">
        <f>CONCATENATE("dif. ",RIGHT(K5,2),"/",RIGHT(G5,2))</f>
        <v>dif. 24/23</v>
      </c>
      <c r="N5" s="296" t="str">
        <f>CONCATENATE("%/s total Tenerife ",RIGHT(K5,4))</f>
        <v>%/s total Tenerife 2024</v>
      </c>
      <c r="O5" s="295" t="s">
        <v>270</v>
      </c>
      <c r="P5" s="296" t="str">
        <f>CONCATENATE("var. ",RIGHT(O5,2),"/",RIGHT(K5,2))</f>
        <v>var. 25/24</v>
      </c>
      <c r="Q5" s="296" t="str">
        <f>CONCATENATE("dif. ",RIGHT(O5,2),"/",RIGHT(K5,2))</f>
        <v>dif. 25/24</v>
      </c>
      <c r="R5" s="296" t="str">
        <f>CONCATENATE("var. ",RIGHT(O5,2),"/",RIGHT(C5,2))</f>
        <v>var. 25/20</v>
      </c>
      <c r="S5" s="296" t="str">
        <f>CONCATENATE("dif. ",RIGHT(O5,2),"/",RIGHT(C5,2))</f>
        <v>dif. 25/20</v>
      </c>
      <c r="T5" s="296" t="str">
        <f>CONCATENATE("%/s total Tenerife ",RIGHT(O5,4))</f>
        <v>%/s total Tenerife 2025</v>
      </c>
      <c r="AE5" s="1"/>
    </row>
    <row r="6" spans="1:31" ht="18.75" x14ac:dyDescent="0.3">
      <c r="A6" s="4"/>
      <c r="B6" s="277" t="s">
        <v>206</v>
      </c>
      <c r="C6" s="297">
        <v>355635</v>
      </c>
      <c r="D6" s="297">
        <v>606515</v>
      </c>
      <c r="E6" s="297">
        <v>802083</v>
      </c>
      <c r="F6" s="298">
        <f>E6/$E$6</f>
        <v>1</v>
      </c>
      <c r="G6" s="297">
        <v>830806</v>
      </c>
      <c r="H6" s="298">
        <f>G6/E6-1</f>
        <v>3.5810508388782747E-2</v>
      </c>
      <c r="I6" s="297">
        <f>G6-E6</f>
        <v>28723</v>
      </c>
      <c r="J6" s="298">
        <f>G6/$G$6</f>
        <v>1</v>
      </c>
      <c r="K6" s="297">
        <v>834904</v>
      </c>
      <c r="L6" s="298">
        <f>K6/G6-1</f>
        <v>4.9325594663496286E-3</v>
      </c>
      <c r="M6" s="297">
        <f>K6-G6</f>
        <v>4098</v>
      </c>
      <c r="N6" s="298">
        <f>K6/$K$6</f>
        <v>1</v>
      </c>
      <c r="O6" s="297">
        <v>845159</v>
      </c>
      <c r="P6" s="298">
        <f>O6/K6-1</f>
        <v>1.2282849285666364E-2</v>
      </c>
      <c r="Q6" s="297">
        <f>O6-K6</f>
        <v>10255</v>
      </c>
      <c r="R6" s="298">
        <f>IFERROR(O6/C6-1,"-")</f>
        <v>1.3764786930420234</v>
      </c>
      <c r="S6" s="297">
        <f>O6-C6</f>
        <v>489524</v>
      </c>
      <c r="T6" s="298">
        <f>O6/$O$6</f>
        <v>1</v>
      </c>
      <c r="V6" s="37"/>
      <c r="W6" s="103"/>
      <c r="AE6" s="1" t="s">
        <v>179</v>
      </c>
    </row>
    <row r="7" spans="1:31" s="4" customFormat="1" x14ac:dyDescent="0.25">
      <c r="B7" s="288" t="s">
        <v>46</v>
      </c>
      <c r="C7" s="306">
        <v>76613</v>
      </c>
      <c r="D7" s="306">
        <v>207995</v>
      </c>
      <c r="E7" s="306">
        <v>171971</v>
      </c>
      <c r="F7" s="312">
        <f t="shared" ref="F7:F16" si="0">E7/$E$6</f>
        <v>0.21440549170098355</v>
      </c>
      <c r="G7" s="306">
        <v>148781</v>
      </c>
      <c r="H7" s="314">
        <f>G7/E7-1</f>
        <v>-0.13484831744887216</v>
      </c>
      <c r="I7" s="313">
        <f>G7-E7</f>
        <v>-23190</v>
      </c>
      <c r="J7" s="312">
        <f>G7/$G$6</f>
        <v>0.17908031477866071</v>
      </c>
      <c r="K7" s="306">
        <v>132009</v>
      </c>
      <c r="L7" s="314">
        <f>K7/G7-1</f>
        <v>-0.11272944798058893</v>
      </c>
      <c r="M7" s="313">
        <f>K7-G7</f>
        <v>-16772</v>
      </c>
      <c r="N7" s="312">
        <f>K7/$K$6</f>
        <v>0.15811278901526404</v>
      </c>
      <c r="O7" s="306">
        <v>120234</v>
      </c>
      <c r="P7" s="314">
        <f>O7/K7-1</f>
        <v>-8.9198463741108514E-2</v>
      </c>
      <c r="Q7" s="313">
        <f>O7-K7</f>
        <v>-11775</v>
      </c>
      <c r="R7" s="314">
        <f t="shared" ref="R7:R16" si="1">IFERROR(O7/C7-1,"-")</f>
        <v>0.56936812290342376</v>
      </c>
      <c r="S7" s="313">
        <f t="shared" ref="S7:S16" si="2">O7-C7</f>
        <v>43621</v>
      </c>
      <c r="T7" s="312">
        <f>O7/$O$6</f>
        <v>0.14226198857256445</v>
      </c>
      <c r="V7" s="37"/>
      <c r="W7" s="103"/>
      <c r="AE7" s="1" t="s">
        <v>181</v>
      </c>
    </row>
    <row r="8" spans="1:31" s="4" customFormat="1" x14ac:dyDescent="0.25">
      <c r="B8" s="288" t="s">
        <v>47</v>
      </c>
      <c r="C8" s="306">
        <v>34195</v>
      </c>
      <c r="D8" s="306">
        <v>62289</v>
      </c>
      <c r="E8" s="306">
        <v>100475</v>
      </c>
      <c r="F8" s="312">
        <f t="shared" si="0"/>
        <v>0.12526758452678838</v>
      </c>
      <c r="G8" s="306">
        <v>94395</v>
      </c>
      <c r="H8" s="314">
        <f t="shared" ref="H8:H16" si="3">G8/E8-1</f>
        <v>-6.0512565314754907E-2</v>
      </c>
      <c r="I8" s="313">
        <f t="shared" ref="I8:I16" si="4">G8-E8</f>
        <v>-6080</v>
      </c>
      <c r="J8" s="312">
        <f t="shared" ref="J8:J16" si="5">G8/$G$6</f>
        <v>0.11361858243681437</v>
      </c>
      <c r="K8" s="306">
        <v>91109</v>
      </c>
      <c r="L8" s="314">
        <f t="shared" ref="L8:L16" si="6">K8/G8-1</f>
        <v>-3.4811165845648584E-2</v>
      </c>
      <c r="M8" s="313">
        <f t="shared" ref="M8:M16" si="7">K8-G8</f>
        <v>-3286</v>
      </c>
      <c r="N8" s="312">
        <f t="shared" ref="N8:N16" si="8">K8/$K$6</f>
        <v>0.10912512097199199</v>
      </c>
      <c r="O8" s="306">
        <v>93244</v>
      </c>
      <c r="P8" s="314">
        <f t="shared" ref="P8:P16" si="9">O8/K8-1</f>
        <v>2.3433469799909901E-2</v>
      </c>
      <c r="Q8" s="313">
        <f t="shared" ref="Q8:Q16" si="10">O8-K8</f>
        <v>2135</v>
      </c>
      <c r="R8" s="314">
        <f t="shared" si="1"/>
        <v>1.7268314081005993</v>
      </c>
      <c r="S8" s="313">
        <f t="shared" si="2"/>
        <v>59049</v>
      </c>
      <c r="T8" s="312">
        <f t="shared" ref="T8:T16" si="11">O8/$O$6</f>
        <v>0.11032716920721426</v>
      </c>
      <c r="V8" s="37"/>
      <c r="W8" s="103"/>
      <c r="AE8" s="1"/>
    </row>
    <row r="9" spans="1:31" s="4" customFormat="1" x14ac:dyDescent="0.25">
      <c r="B9" s="288" t="s">
        <v>48</v>
      </c>
      <c r="C9" s="306">
        <v>2129</v>
      </c>
      <c r="D9" s="306">
        <v>3943</v>
      </c>
      <c r="E9" s="306">
        <v>4228</v>
      </c>
      <c r="F9" s="307">
        <f t="shared" si="0"/>
        <v>5.2712749179324335E-3</v>
      </c>
      <c r="G9" s="306">
        <v>16405</v>
      </c>
      <c r="H9" s="318">
        <f t="shared" si="3"/>
        <v>2.8800851466414379</v>
      </c>
      <c r="I9" s="309">
        <f t="shared" si="4"/>
        <v>12177</v>
      </c>
      <c r="J9" s="307">
        <f t="shared" si="5"/>
        <v>1.9745885321001532E-2</v>
      </c>
      <c r="K9" s="306">
        <v>8742</v>
      </c>
      <c r="L9" s="314">
        <f t="shared" si="6"/>
        <v>-0.46711368485217919</v>
      </c>
      <c r="M9" s="313">
        <f t="shared" si="7"/>
        <v>-7663</v>
      </c>
      <c r="N9" s="312">
        <f t="shared" si="8"/>
        <v>1.0470664890813794E-2</v>
      </c>
      <c r="O9" s="306">
        <v>7080</v>
      </c>
      <c r="P9" s="314">
        <f t="shared" si="9"/>
        <v>-0.19011667810569666</v>
      </c>
      <c r="Q9" s="313">
        <f t="shared" si="10"/>
        <v>-1662</v>
      </c>
      <c r="R9" s="314">
        <f t="shared" si="1"/>
        <v>2.3255049318929073</v>
      </c>
      <c r="S9" s="313">
        <f t="shared" si="2"/>
        <v>4951</v>
      </c>
      <c r="T9" s="312">
        <f t="shared" si="11"/>
        <v>8.377121938002198E-3</v>
      </c>
      <c r="V9" s="37"/>
      <c r="W9" s="103"/>
      <c r="AE9" s="1"/>
    </row>
    <row r="10" spans="1:31" s="4" customFormat="1" x14ac:dyDescent="0.25">
      <c r="B10" s="288" t="s">
        <v>50</v>
      </c>
      <c r="C10" s="306">
        <v>75068</v>
      </c>
      <c r="D10" s="306">
        <v>127023</v>
      </c>
      <c r="E10" s="306">
        <v>267342</v>
      </c>
      <c r="F10" s="312">
        <f t="shared" si="0"/>
        <v>0.33330964501180055</v>
      </c>
      <c r="G10" s="306">
        <v>277292</v>
      </c>
      <c r="H10" s="314">
        <f t="shared" si="3"/>
        <v>3.7218244795056421E-2</v>
      </c>
      <c r="I10" s="313">
        <f t="shared" si="4"/>
        <v>9950</v>
      </c>
      <c r="J10" s="312">
        <f t="shared" si="5"/>
        <v>0.33376263532039968</v>
      </c>
      <c r="K10" s="306">
        <v>305825</v>
      </c>
      <c r="L10" s="314">
        <f t="shared" si="6"/>
        <v>0.10289874933283327</v>
      </c>
      <c r="M10" s="313">
        <f t="shared" si="7"/>
        <v>28533</v>
      </c>
      <c r="N10" s="312">
        <f t="shared" si="8"/>
        <v>0.36629959851671567</v>
      </c>
      <c r="O10" s="306">
        <v>321321</v>
      </c>
      <c r="P10" s="314">
        <f t="shared" si="9"/>
        <v>5.0669500531349554E-2</v>
      </c>
      <c r="Q10" s="313">
        <f t="shared" si="10"/>
        <v>15496</v>
      </c>
      <c r="R10" s="314">
        <f t="shared" si="1"/>
        <v>3.2803991048116377</v>
      </c>
      <c r="S10" s="313">
        <f t="shared" si="2"/>
        <v>246253</v>
      </c>
      <c r="T10" s="312">
        <f>O10/$O$6</f>
        <v>0.38018999975152606</v>
      </c>
      <c r="V10" s="37"/>
      <c r="W10" s="103"/>
      <c r="AE10" s="1"/>
    </row>
    <row r="11" spans="1:31" s="4" customFormat="1" x14ac:dyDescent="0.25">
      <c r="B11" s="288" t="s">
        <v>52</v>
      </c>
      <c r="C11" s="306">
        <v>24373</v>
      </c>
      <c r="D11" s="306">
        <v>37856</v>
      </c>
      <c r="E11" s="306">
        <v>37846</v>
      </c>
      <c r="F11" s="307">
        <f t="shared" si="0"/>
        <v>4.7184642985825656E-2</v>
      </c>
      <c r="G11" s="306">
        <v>43389</v>
      </c>
      <c r="H11" s="318">
        <f t="shared" si="3"/>
        <v>0.14646197748771339</v>
      </c>
      <c r="I11" s="309">
        <f t="shared" si="4"/>
        <v>5543</v>
      </c>
      <c r="J11" s="307">
        <f t="shared" si="5"/>
        <v>5.2225188551840024E-2</v>
      </c>
      <c r="K11" s="306">
        <v>40492</v>
      </c>
      <c r="L11" s="314">
        <f t="shared" si="6"/>
        <v>-6.6768074857682769E-2</v>
      </c>
      <c r="M11" s="313">
        <f t="shared" si="7"/>
        <v>-2897</v>
      </c>
      <c r="N11" s="312">
        <f t="shared" si="8"/>
        <v>4.8498989105334268E-2</v>
      </c>
      <c r="O11" s="306">
        <v>43451</v>
      </c>
      <c r="P11" s="314">
        <f t="shared" si="9"/>
        <v>7.3076163192729471E-2</v>
      </c>
      <c r="Q11" s="313">
        <f t="shared" si="10"/>
        <v>2959</v>
      </c>
      <c r="R11" s="314">
        <f t="shared" si="1"/>
        <v>0.78275140524350717</v>
      </c>
      <c r="S11" s="313">
        <f t="shared" si="2"/>
        <v>19078</v>
      </c>
      <c r="T11" s="312">
        <f t="shared" si="11"/>
        <v>5.1411627871205297E-2</v>
      </c>
      <c r="V11" s="37"/>
      <c r="W11" s="103"/>
      <c r="AE11" s="1"/>
    </row>
    <row r="12" spans="1:31" s="4" customFormat="1" x14ac:dyDescent="0.25">
      <c r="B12" s="288" t="s">
        <v>53</v>
      </c>
      <c r="C12" s="306">
        <v>36330</v>
      </c>
      <c r="D12" s="306">
        <v>68840</v>
      </c>
      <c r="E12" s="306">
        <v>97242</v>
      </c>
      <c r="F12" s="312">
        <f t="shared" si="0"/>
        <v>0.1212368296049162</v>
      </c>
      <c r="G12" s="306">
        <v>108324</v>
      </c>
      <c r="H12" s="314">
        <f t="shared" si="3"/>
        <v>0.11396310236317642</v>
      </c>
      <c r="I12" s="313">
        <f t="shared" si="4"/>
        <v>11082</v>
      </c>
      <c r="J12" s="312">
        <f t="shared" si="5"/>
        <v>0.13038422929059251</v>
      </c>
      <c r="K12" s="306">
        <v>115851</v>
      </c>
      <c r="L12" s="314">
        <f t="shared" si="6"/>
        <v>6.9485986484989493E-2</v>
      </c>
      <c r="M12" s="313">
        <f t="shared" si="7"/>
        <v>7527</v>
      </c>
      <c r="N12" s="312">
        <f t="shared" si="8"/>
        <v>0.13875966578193422</v>
      </c>
      <c r="O12" s="306">
        <v>132246</v>
      </c>
      <c r="P12" s="314">
        <f t="shared" si="9"/>
        <v>0.14151798430742946</v>
      </c>
      <c r="Q12" s="313">
        <f t="shared" si="10"/>
        <v>16395</v>
      </c>
      <c r="R12" s="314">
        <f t="shared" si="1"/>
        <v>2.6401321222130472</v>
      </c>
      <c r="S12" s="313">
        <f t="shared" si="2"/>
        <v>95916</v>
      </c>
      <c r="T12" s="312">
        <f t="shared" si="11"/>
        <v>0.15647469884364953</v>
      </c>
      <c r="V12" s="37"/>
      <c r="W12" s="103"/>
      <c r="AE12" s="1"/>
    </row>
    <row r="13" spans="1:31" s="4" customFormat="1" x14ac:dyDescent="0.25">
      <c r="B13" s="288" t="s">
        <v>51</v>
      </c>
      <c r="C13" s="306">
        <v>11031</v>
      </c>
      <c r="D13" s="306">
        <v>13958</v>
      </c>
      <c r="E13" s="306">
        <v>24786</v>
      </c>
      <c r="F13" s="307">
        <f t="shared" si="0"/>
        <v>3.0902038816431717E-2</v>
      </c>
      <c r="G13" s="306">
        <v>29860</v>
      </c>
      <c r="H13" s="318">
        <f t="shared" si="3"/>
        <v>0.20471233760994112</v>
      </c>
      <c r="I13" s="309">
        <f t="shared" si="4"/>
        <v>5074</v>
      </c>
      <c r="J13" s="307">
        <f t="shared" si="5"/>
        <v>3.594100187047277E-2</v>
      </c>
      <c r="K13" s="306">
        <v>26153</v>
      </c>
      <c r="L13" s="314">
        <f t="shared" si="6"/>
        <v>-0.12414601473543196</v>
      </c>
      <c r="M13" s="313">
        <f t="shared" si="7"/>
        <v>-3707</v>
      </c>
      <c r="N13" s="312">
        <f t="shared" si="8"/>
        <v>3.1324559470310362E-2</v>
      </c>
      <c r="O13" s="306">
        <v>25265</v>
      </c>
      <c r="P13" s="314">
        <f t="shared" si="9"/>
        <v>-3.3954039689519377E-2</v>
      </c>
      <c r="Q13" s="313">
        <f t="shared" si="10"/>
        <v>-888</v>
      </c>
      <c r="R13" s="314">
        <f t="shared" si="1"/>
        <v>1.2903635209863111</v>
      </c>
      <c r="S13" s="313">
        <f t="shared" si="2"/>
        <v>14234</v>
      </c>
      <c r="T13" s="312">
        <f t="shared" si="11"/>
        <v>2.9893783299947109E-2</v>
      </c>
      <c r="V13" s="37"/>
      <c r="W13" s="103"/>
      <c r="AE13" s="1"/>
    </row>
    <row r="14" spans="1:31" s="4" customFormat="1" x14ac:dyDescent="0.25">
      <c r="B14" s="288" t="s">
        <v>54</v>
      </c>
      <c r="C14" s="306">
        <v>14652</v>
      </c>
      <c r="D14" s="306">
        <v>37616</v>
      </c>
      <c r="E14" s="306">
        <v>24500</v>
      </c>
      <c r="F14" s="312">
        <f t="shared" si="0"/>
        <v>3.0545467239674697E-2</v>
      </c>
      <c r="G14" s="306">
        <v>26474</v>
      </c>
      <c r="H14" s="314">
        <f t="shared" si="3"/>
        <v>8.0571428571428516E-2</v>
      </c>
      <c r="I14" s="313">
        <f t="shared" si="4"/>
        <v>1974</v>
      </c>
      <c r="J14" s="312">
        <f t="shared" si="5"/>
        <v>3.1865441511014607E-2</v>
      </c>
      <c r="K14" s="306">
        <v>22996</v>
      </c>
      <c r="L14" s="314">
        <f t="shared" si="6"/>
        <v>-0.13137417843922339</v>
      </c>
      <c r="M14" s="313">
        <f t="shared" si="7"/>
        <v>-3478</v>
      </c>
      <c r="N14" s="312">
        <f t="shared" si="8"/>
        <v>2.7543286413767333E-2</v>
      </c>
      <c r="O14" s="306">
        <v>26539</v>
      </c>
      <c r="P14" s="314">
        <f t="shared" si="9"/>
        <v>0.15407027309097243</v>
      </c>
      <c r="Q14" s="313">
        <f t="shared" si="10"/>
        <v>3543</v>
      </c>
      <c r="R14" s="314">
        <f t="shared" si="1"/>
        <v>0.81128856128856119</v>
      </c>
      <c r="S14" s="313">
        <f t="shared" si="2"/>
        <v>11887</v>
      </c>
      <c r="T14" s="312">
        <f t="shared" si="11"/>
        <v>3.1401191965062199E-2</v>
      </c>
      <c r="V14" s="37"/>
      <c r="W14" s="103"/>
      <c r="AE14" s="1"/>
    </row>
    <row r="15" spans="1:31" s="4" customFormat="1" x14ac:dyDescent="0.25">
      <c r="B15" s="288" t="s">
        <v>49</v>
      </c>
      <c r="C15" s="306">
        <v>16922</v>
      </c>
      <c r="D15" s="306">
        <v>19322</v>
      </c>
      <c r="E15" s="306">
        <v>29432</v>
      </c>
      <c r="F15" s="307">
        <f t="shared" si="0"/>
        <v>3.6694456808085946E-2</v>
      </c>
      <c r="G15" s="306">
        <v>39183</v>
      </c>
      <c r="H15" s="318">
        <f t="shared" si="3"/>
        <v>0.33130606142973629</v>
      </c>
      <c r="I15" s="309">
        <f t="shared" si="4"/>
        <v>9751</v>
      </c>
      <c r="J15" s="307">
        <f t="shared" si="5"/>
        <v>4.7162634838939538E-2</v>
      </c>
      <c r="K15" s="306">
        <v>48762</v>
      </c>
      <c r="L15" s="314">
        <f t="shared" si="6"/>
        <v>0.24446826429829271</v>
      </c>
      <c r="M15" s="313">
        <f t="shared" si="7"/>
        <v>9579</v>
      </c>
      <c r="N15" s="312">
        <f t="shared" si="8"/>
        <v>5.8404319538533769E-2</v>
      </c>
      <c r="O15" s="306">
        <v>33672</v>
      </c>
      <c r="P15" s="314">
        <f t="shared" si="9"/>
        <v>-0.3094622862064722</v>
      </c>
      <c r="Q15" s="313">
        <f t="shared" si="10"/>
        <v>-15090</v>
      </c>
      <c r="R15" s="314">
        <f t="shared" si="1"/>
        <v>0.98983571681834293</v>
      </c>
      <c r="S15" s="313">
        <f t="shared" si="2"/>
        <v>16750</v>
      </c>
      <c r="T15" s="312">
        <f t="shared" si="11"/>
        <v>3.9841023996668085E-2</v>
      </c>
      <c r="V15" s="37"/>
      <c r="W15" s="103"/>
      <c r="AE15" s="1"/>
    </row>
    <row r="16" spans="1:31" s="4" customFormat="1" x14ac:dyDescent="0.25">
      <c r="B16" s="288" t="s">
        <v>207</v>
      </c>
      <c r="C16" s="306">
        <f>C6-SUM(C7:C15)</f>
        <v>64322</v>
      </c>
      <c r="D16" s="306">
        <f>D6-SUM(D7:D15)</f>
        <v>27673</v>
      </c>
      <c r="E16" s="306">
        <f>E6-SUM(E7:E15)</f>
        <v>44261</v>
      </c>
      <c r="F16" s="312">
        <f t="shared" si="0"/>
        <v>5.5182568387560887E-2</v>
      </c>
      <c r="G16" s="306">
        <f>G6-SUM(G7:G15)</f>
        <v>46703</v>
      </c>
      <c r="H16" s="314">
        <f t="shared" si="3"/>
        <v>5.5172725424188274E-2</v>
      </c>
      <c r="I16" s="313">
        <f t="shared" si="4"/>
        <v>2442</v>
      </c>
      <c r="J16" s="312">
        <f t="shared" si="5"/>
        <v>5.6214086080264222E-2</v>
      </c>
      <c r="K16" s="306">
        <f>K6-SUM(K7:K15)</f>
        <v>42965</v>
      </c>
      <c r="L16" s="314">
        <f t="shared" si="6"/>
        <v>-8.003768494529262E-2</v>
      </c>
      <c r="M16" s="313">
        <f t="shared" si="7"/>
        <v>-3738</v>
      </c>
      <c r="N16" s="312">
        <f t="shared" si="8"/>
        <v>5.1461006295334552E-2</v>
      </c>
      <c r="O16" s="306">
        <f>O6-SUM(O7:O15)</f>
        <v>42107</v>
      </c>
      <c r="P16" s="314">
        <f t="shared" si="9"/>
        <v>-1.9969742813918279E-2</v>
      </c>
      <c r="Q16" s="313">
        <f t="shared" si="10"/>
        <v>-858</v>
      </c>
      <c r="R16" s="314">
        <f t="shared" si="1"/>
        <v>-0.34537172351605983</v>
      </c>
      <c r="S16" s="313">
        <f t="shared" si="2"/>
        <v>-22215</v>
      </c>
      <c r="T16" s="312">
        <f t="shared" si="11"/>
        <v>4.9821394554160812E-2</v>
      </c>
      <c r="V16" s="37"/>
      <c r="W16" s="103"/>
      <c r="AE16" s="1"/>
    </row>
    <row r="17" spans="2:31" s="4" customFormat="1" ht="7.5" customHeight="1" x14ac:dyDescent="0.25">
      <c r="B17" s="289"/>
      <c r="C17" s="289"/>
      <c r="D17" s="289"/>
      <c r="E17" s="289"/>
      <c r="F17" s="289"/>
      <c r="G17" s="289"/>
      <c r="H17" s="289"/>
      <c r="I17" s="289"/>
      <c r="J17" s="289"/>
      <c r="K17" s="289"/>
      <c r="L17" s="289"/>
      <c r="M17" s="289"/>
      <c r="N17" s="289"/>
      <c r="O17" s="289"/>
      <c r="P17" s="289"/>
      <c r="Q17" s="289"/>
      <c r="R17" s="289"/>
      <c r="S17" s="289"/>
      <c r="T17" s="289"/>
      <c r="AE17" s="1" t="s">
        <v>186</v>
      </c>
    </row>
    <row r="18" spans="2:31" s="4" customFormat="1" x14ac:dyDescent="0.25">
      <c r="B18" s="202" t="s">
        <v>187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AE18" s="1" t="s">
        <v>188</v>
      </c>
    </row>
    <row r="19" spans="2:31" s="4" customFormat="1" x14ac:dyDescent="0.25">
      <c r="AE19" s="1"/>
    </row>
    <row r="42" spans="2:31" s="4" customFormat="1" ht="15.75" hidden="1" customHeight="1" thickBot="1" x14ac:dyDescent="0.3">
      <c r="B42" s="12" t="s">
        <v>189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07"/>
      <c r="AE42" s="1"/>
    </row>
    <row r="43" spans="2:31" s="4" customFormat="1" ht="6" hidden="1" customHeight="1" thickBot="1" x14ac:dyDescent="0.3">
      <c r="AE43" s="1"/>
    </row>
    <row r="44" spans="2:31" s="4" customFormat="1" ht="30" hidden="1" x14ac:dyDescent="0.25">
      <c r="C44" s="112"/>
      <c r="D44" s="112"/>
      <c r="E44" s="112"/>
      <c r="F44" s="112"/>
      <c r="G44" s="112"/>
      <c r="H44" s="112"/>
      <c r="I44" s="112"/>
      <c r="J44" s="112"/>
      <c r="K44" s="15">
        <v>2020</v>
      </c>
      <c r="L44" s="15"/>
      <c r="M44" s="15"/>
      <c r="N44" s="15" t="s">
        <v>190</v>
      </c>
      <c r="O44" s="15">
        <v>2021</v>
      </c>
      <c r="P44" s="15" t="s">
        <v>190</v>
      </c>
      <c r="Q44" s="15" t="s">
        <v>191</v>
      </c>
      <c r="R44" s="15" t="s">
        <v>192</v>
      </c>
      <c r="S44" s="15" t="s">
        <v>193</v>
      </c>
      <c r="T44" s="112"/>
      <c r="AE44" s="1"/>
    </row>
    <row r="45" spans="2:31" s="4" customFormat="1" ht="18.75" hidden="1" x14ac:dyDescent="0.3">
      <c r="B45" s="277" t="s">
        <v>177</v>
      </c>
      <c r="C45" s="278"/>
      <c r="D45" s="278"/>
      <c r="E45" s="278"/>
      <c r="F45" s="278"/>
      <c r="G45" s="278"/>
      <c r="H45" s="278"/>
      <c r="I45" s="278"/>
      <c r="J45" s="278"/>
      <c r="K45" s="278">
        <v>1824653</v>
      </c>
      <c r="L45" s="278"/>
      <c r="M45" s="278"/>
      <c r="N45" s="279"/>
      <c r="O45" s="278">
        <v>2354005</v>
      </c>
      <c r="P45" s="279"/>
      <c r="Q45" s="279">
        <v>1</v>
      </c>
      <c r="R45" s="279">
        <v>0.2901110512519367</v>
      </c>
      <c r="S45" s="278">
        <v>529352</v>
      </c>
      <c r="T45" s="290"/>
      <c r="AE45" s="1"/>
    </row>
    <row r="46" spans="2:31" ht="18.75" hidden="1" x14ac:dyDescent="0.3">
      <c r="B46" s="277" t="s">
        <v>178</v>
      </c>
      <c r="C46" s="278"/>
      <c r="D46" s="278"/>
      <c r="E46" s="278"/>
      <c r="F46" s="278"/>
      <c r="G46" s="278"/>
      <c r="H46" s="278"/>
      <c r="I46" s="278"/>
      <c r="J46" s="278"/>
      <c r="K46" s="278">
        <v>603938</v>
      </c>
      <c r="L46" s="278"/>
      <c r="M46" s="278"/>
      <c r="N46" s="279">
        <v>1</v>
      </c>
      <c r="O46" s="278">
        <v>936181</v>
      </c>
      <c r="P46" s="279">
        <v>1</v>
      </c>
      <c r="Q46" s="279">
        <v>0.39769711619134201</v>
      </c>
      <c r="R46" s="279">
        <v>0.55012766211101138</v>
      </c>
      <c r="S46" s="278">
        <v>332243</v>
      </c>
      <c r="T46" s="290"/>
      <c r="AE46" s="1" t="s">
        <v>179</v>
      </c>
    </row>
    <row r="47" spans="2:31" ht="15.75" hidden="1" x14ac:dyDescent="0.25">
      <c r="B47" s="280" t="s">
        <v>102</v>
      </c>
      <c r="C47" s="281"/>
      <c r="D47" s="281"/>
      <c r="E47" s="281"/>
      <c r="F47" s="281"/>
      <c r="G47" s="281"/>
      <c r="H47" s="281"/>
      <c r="I47" s="281"/>
      <c r="J47" s="281"/>
      <c r="K47" s="281">
        <v>276550.36166633503</v>
      </c>
      <c r="L47" s="281"/>
      <c r="M47" s="281"/>
      <c r="N47" s="282">
        <v>0.45791184139155844</v>
      </c>
      <c r="O47" s="281">
        <v>430252.45635520399</v>
      </c>
      <c r="P47" s="282">
        <v>0.4595825554622493</v>
      </c>
      <c r="Q47" s="282">
        <v>0.18277465695918402</v>
      </c>
      <c r="R47" s="282">
        <v>0.55578337978930015</v>
      </c>
      <c r="S47" s="281">
        <v>153702.09468886897</v>
      </c>
      <c r="T47" s="291"/>
      <c r="AE47" s="1" t="s">
        <v>180</v>
      </c>
    </row>
    <row r="48" spans="2:31" s="4" customFormat="1" hidden="1" x14ac:dyDescent="0.25">
      <c r="B48" s="283" t="s">
        <v>105</v>
      </c>
      <c r="C48" s="284"/>
      <c r="D48" s="284"/>
      <c r="E48" s="284"/>
      <c r="F48" s="284"/>
      <c r="G48" s="284"/>
      <c r="H48" s="284"/>
      <c r="I48" s="284"/>
      <c r="J48" s="284"/>
      <c r="K48" s="284">
        <v>327387.63833385095</v>
      </c>
      <c r="L48" s="284"/>
      <c r="M48" s="284"/>
      <c r="N48" s="287">
        <v>0.54208815860874948</v>
      </c>
      <c r="O48" s="284">
        <v>505927.5436448183</v>
      </c>
      <c r="P48" s="287">
        <v>0.54041637636826456</v>
      </c>
      <c r="Q48" s="287">
        <v>0.21492203442423372</v>
      </c>
      <c r="R48" s="285">
        <v>0.54534711884540576</v>
      </c>
      <c r="S48" s="286">
        <v>178539.90531096736</v>
      </c>
      <c r="T48" s="293"/>
      <c r="AE48" s="1" t="s">
        <v>181</v>
      </c>
    </row>
    <row r="49" spans="2:31" s="4" customFormat="1" hidden="1" x14ac:dyDescent="0.25">
      <c r="B49" s="288" t="s">
        <v>182</v>
      </c>
      <c r="C49" s="37"/>
      <c r="D49" s="37"/>
      <c r="E49" s="37"/>
      <c r="F49" s="37"/>
      <c r="G49" s="37"/>
      <c r="H49" s="37"/>
      <c r="I49" s="37"/>
      <c r="J49" s="37"/>
      <c r="K49" s="37">
        <v>242109.12821622068</v>
      </c>
      <c r="L49" s="37"/>
      <c r="M49" s="37"/>
      <c r="N49" s="39">
        <v>0.4008840778626625</v>
      </c>
      <c r="O49" s="37">
        <v>391384.01224089495</v>
      </c>
      <c r="P49" s="39">
        <v>0.41806446855992052</v>
      </c>
      <c r="Q49" s="39">
        <v>0.16626303352834634</v>
      </c>
      <c r="R49" s="27">
        <v>0.61656033014732592</v>
      </c>
      <c r="S49" s="25">
        <v>149274.88402467428</v>
      </c>
      <c r="T49" s="25"/>
      <c r="AE49" s="1" t="s">
        <v>183</v>
      </c>
    </row>
    <row r="50" spans="2:31" s="4" customFormat="1" hidden="1" x14ac:dyDescent="0.25">
      <c r="B50" s="288" t="s">
        <v>184</v>
      </c>
      <c r="C50" s="37"/>
      <c r="D50" s="37"/>
      <c r="E50" s="37"/>
      <c r="F50" s="37"/>
      <c r="G50" s="37"/>
      <c r="H50" s="37"/>
      <c r="I50" s="37"/>
      <c r="J50" s="37"/>
      <c r="K50" s="37">
        <v>85278.510117630256</v>
      </c>
      <c r="L50" s="37"/>
      <c r="M50" s="37"/>
      <c r="N50" s="39">
        <v>0.14120408074608695</v>
      </c>
      <c r="O50" s="37">
        <v>114543.53140392336</v>
      </c>
      <c r="P50" s="39">
        <v>0.12235190780834407</v>
      </c>
      <c r="Q50" s="39">
        <v>4.8659000895887379E-2</v>
      </c>
      <c r="R50" s="27">
        <v>0.34316994100771625</v>
      </c>
      <c r="S50" s="25">
        <v>29265.021286293108</v>
      </c>
      <c r="T50" s="25"/>
      <c r="AE50" s="1" t="s">
        <v>185</v>
      </c>
    </row>
    <row r="51" spans="2:31" s="4" customFormat="1" ht="7.5" hidden="1" customHeight="1" x14ac:dyDescent="0.25">
      <c r="B51" s="289"/>
      <c r="C51" s="289"/>
      <c r="D51" s="289"/>
      <c r="E51" s="289"/>
      <c r="F51" s="289"/>
      <c r="G51" s="289"/>
      <c r="H51" s="289"/>
      <c r="I51" s="289"/>
      <c r="J51" s="289"/>
      <c r="K51" s="289"/>
      <c r="L51" s="289"/>
      <c r="M51" s="289"/>
      <c r="N51" s="289"/>
      <c r="O51" s="289"/>
      <c r="P51" s="289"/>
      <c r="Q51" s="289"/>
      <c r="R51" s="289"/>
      <c r="S51" s="289"/>
      <c r="AE51" s="1" t="s">
        <v>186</v>
      </c>
    </row>
    <row r="52" spans="2:31" s="4" customFormat="1" hidden="1" x14ac:dyDescent="0.25">
      <c r="B52" s="66" t="s">
        <v>187</v>
      </c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294"/>
      <c r="AE52" s="1" t="s">
        <v>188</v>
      </c>
    </row>
    <row r="53" spans="2:31" s="4" customFormat="1" hidden="1" x14ac:dyDescent="0.25">
      <c r="AE53" s="1"/>
    </row>
    <row r="54" spans="2:31" hidden="1" x14ac:dyDescent="0.25">
      <c r="C54" s="153"/>
      <c r="D54" s="153"/>
      <c r="E54" s="153"/>
      <c r="F54" s="153"/>
      <c r="G54" s="153"/>
      <c r="H54" s="153"/>
      <c r="I54" s="153"/>
      <c r="J54" s="153"/>
      <c r="K54" s="153">
        <v>0.54208815860874948</v>
      </c>
      <c r="L54" s="153"/>
      <c r="M54" s="153"/>
    </row>
    <row r="55" spans="2:31" hidden="1" x14ac:dyDescent="0.25"/>
    <row r="56" spans="2:31" hidden="1" x14ac:dyDescent="0.25"/>
    <row r="57" spans="2:31" hidden="1" x14ac:dyDescent="0.25"/>
    <row r="58" spans="2:31" hidden="1" x14ac:dyDescent="0.25"/>
    <row r="59" spans="2:31" hidden="1" x14ac:dyDescent="0.25"/>
    <row r="60" spans="2:31" hidden="1" x14ac:dyDescent="0.25"/>
    <row r="61" spans="2:31" hidden="1" x14ac:dyDescent="0.25"/>
    <row r="62" spans="2:31" hidden="1" x14ac:dyDescent="0.25"/>
    <row r="63" spans="2:31" hidden="1" x14ac:dyDescent="0.25"/>
    <row r="64" spans="2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33" spans="1:31" s="4" customFormat="1" ht="25.5" customHeight="1" thickBot="1" x14ac:dyDescent="0.3">
      <c r="B133" s="85" t="s">
        <v>29</v>
      </c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Z133" s="1"/>
    </row>
    <row r="134" spans="1:31" s="4" customFormat="1" ht="6" customHeight="1" x14ac:dyDescent="0.25">
      <c r="Z134" s="1"/>
    </row>
    <row r="135" spans="1:31" s="4" customFormat="1" ht="30" x14ac:dyDescent="0.25">
      <c r="C135" s="218">
        <v>2020</v>
      </c>
      <c r="D135" s="218">
        <v>2021</v>
      </c>
      <c r="E135" s="218">
        <v>2022</v>
      </c>
      <c r="F135" s="218">
        <v>2023</v>
      </c>
      <c r="G135" s="206" t="str">
        <f>CONCATENATE("var. ",RIGHT(F135,2),"/",RIGHT(E135,2))</f>
        <v>var. 23/22</v>
      </c>
      <c r="H135" s="206" t="str">
        <f>CONCATENATE("dif. ",RIGHT(F135,2),"/",RIGHT(E135,2))</f>
        <v>dif. 23/22</v>
      </c>
      <c r="I135" s="206" t="str">
        <f>CONCATENATE("%/s total Península ",RIGHT(F135,4))</f>
        <v>%/s total Península 2023</v>
      </c>
      <c r="J135" s="218">
        <v>2024</v>
      </c>
      <c r="K135" s="206" t="str">
        <f>CONCATENATE("%/s total España ",RIGHT(J135,4))</f>
        <v>%/s total España 2024</v>
      </c>
      <c r="L135" s="206" t="str">
        <f>CONCATENATE("var. ",RIGHT(J135,2),"/",RIGHT(F135,2))</f>
        <v>var. 24/23</v>
      </c>
      <c r="M135" s="206" t="str">
        <f>CONCATENATE("dif. ",RIGHT(J135,2),"/",RIGHT(F135,2))</f>
        <v>dif. 24/23</v>
      </c>
      <c r="N135" s="206" t="str">
        <f>CONCATENATE("var. ",RIGHT(J135,2),"/",RIGHT(C135,2))</f>
        <v>var. 24/20</v>
      </c>
      <c r="O135" s="206" t="str">
        <f>CONCATENATE("dif. ",RIGHT(J135,2),"/",RIGHT(C135,2))</f>
        <v>dif. 24/20</v>
      </c>
      <c r="Z135" s="1"/>
    </row>
    <row r="136" spans="1:31" ht="18.75" x14ac:dyDescent="0.3">
      <c r="A136" s="4"/>
      <c r="B136" s="277" t="s">
        <v>206</v>
      </c>
      <c r="C136" s="281">
        <v>456683</v>
      </c>
      <c r="D136" s="281">
        <v>800301</v>
      </c>
      <c r="E136" s="281">
        <v>1016781</v>
      </c>
      <c r="F136" s="281">
        <v>1041269</v>
      </c>
      <c r="G136" s="282">
        <f>F136/E136-1</f>
        <v>2.4083848931087504E-2</v>
      </c>
      <c r="H136" s="281">
        <f>F136-E136</f>
        <v>24488</v>
      </c>
      <c r="I136" s="282">
        <f>F136/F$136</f>
        <v>1</v>
      </c>
      <c r="J136" s="281">
        <v>1058434</v>
      </c>
      <c r="K136" s="282">
        <f>H136/H$136</f>
        <v>1</v>
      </c>
      <c r="L136" s="282">
        <f>J136/F136-1</f>
        <v>1.6484693196474609E-2</v>
      </c>
      <c r="M136" s="281">
        <f>J136-F136</f>
        <v>17165</v>
      </c>
      <c r="N136" s="282">
        <f>J136/C136-1</f>
        <v>1.3176557918731375</v>
      </c>
      <c r="O136" s="281">
        <f>J136-C136</f>
        <v>601751</v>
      </c>
      <c r="Q136" s="37"/>
      <c r="R136" s="103"/>
      <c r="Z136" s="1" t="s">
        <v>179</v>
      </c>
      <c r="AE136"/>
    </row>
    <row r="137" spans="1:31" s="4" customFormat="1" x14ac:dyDescent="0.25">
      <c r="B137" s="288" t="s">
        <v>46</v>
      </c>
      <c r="C137" s="306">
        <v>117997</v>
      </c>
      <c r="D137" s="306">
        <v>247584</v>
      </c>
      <c r="E137" s="306">
        <v>207208</v>
      </c>
      <c r="F137" s="306">
        <v>181512</v>
      </c>
      <c r="G137" s="312">
        <f t="shared" ref="G137:G146" si="12">F137/E137-1</f>
        <v>-0.12401065595922933</v>
      </c>
      <c r="H137" s="320">
        <f t="shared" ref="H137:H146" si="13">F137-E137</f>
        <v>-25696</v>
      </c>
      <c r="I137" s="314">
        <f t="shared" ref="I137:K146" si="14">F137/F$136</f>
        <v>0.17431806766551197</v>
      </c>
      <c r="J137" s="306">
        <v>161819</v>
      </c>
      <c r="K137" s="314">
        <f t="shared" si="14"/>
        <v>-1.049330284220843</v>
      </c>
      <c r="L137" s="314">
        <f t="shared" ref="L137:L146" si="15">J137/F137-1</f>
        <v>-0.10849420423994005</v>
      </c>
      <c r="M137" s="313">
        <f t="shared" ref="M137:M146" si="16">J137-F137</f>
        <v>-19693</v>
      </c>
      <c r="N137" s="312">
        <f t="shared" ref="N137:N146" si="17">J137/C137-1</f>
        <v>0.37138232327940535</v>
      </c>
      <c r="O137" s="306">
        <f t="shared" ref="O137:O146" si="18">J137-C137</f>
        <v>43822</v>
      </c>
      <c r="Q137" s="37"/>
      <c r="R137" s="103"/>
      <c r="Z137" s="1" t="s">
        <v>181</v>
      </c>
    </row>
    <row r="138" spans="1:31" s="4" customFormat="1" x14ac:dyDescent="0.25">
      <c r="B138" s="288" t="s">
        <v>47</v>
      </c>
      <c r="C138" s="306">
        <v>51760</v>
      </c>
      <c r="D138" s="306">
        <v>83468</v>
      </c>
      <c r="E138" s="306">
        <v>123951</v>
      </c>
      <c r="F138" s="306">
        <v>118966</v>
      </c>
      <c r="G138" s="312">
        <f t="shared" si="12"/>
        <v>-4.0217505304515511E-2</v>
      </c>
      <c r="H138" s="320">
        <f t="shared" si="13"/>
        <v>-4985</v>
      </c>
      <c r="I138" s="314">
        <f t="shared" si="14"/>
        <v>0.1142509764527706</v>
      </c>
      <c r="J138" s="306">
        <v>114660</v>
      </c>
      <c r="K138" s="314">
        <f t="shared" si="14"/>
        <v>-0.20356909506697157</v>
      </c>
      <c r="L138" s="314">
        <f t="shared" si="15"/>
        <v>-3.6195215439705497E-2</v>
      </c>
      <c r="M138" s="313">
        <f t="shared" si="16"/>
        <v>-4306</v>
      </c>
      <c r="N138" s="312">
        <f t="shared" si="17"/>
        <v>1.2152241112828439</v>
      </c>
      <c r="O138" s="306">
        <f t="shared" si="18"/>
        <v>62900</v>
      </c>
      <c r="Q138" s="37"/>
      <c r="R138" s="103"/>
      <c r="Z138" s="1"/>
    </row>
    <row r="139" spans="1:31" s="4" customFormat="1" x14ac:dyDescent="0.25">
      <c r="B139" s="288" t="s">
        <v>48</v>
      </c>
      <c r="C139" s="306">
        <v>2339</v>
      </c>
      <c r="D139" s="306">
        <v>4950</v>
      </c>
      <c r="E139" s="306">
        <v>6762</v>
      </c>
      <c r="F139" s="306">
        <v>20250</v>
      </c>
      <c r="G139" s="312">
        <f t="shared" si="12"/>
        <v>1.9946761313220942</v>
      </c>
      <c r="H139" s="320">
        <f t="shared" si="13"/>
        <v>13488</v>
      </c>
      <c r="I139" s="314">
        <f t="shared" si="14"/>
        <v>1.9447424248681178E-2</v>
      </c>
      <c r="J139" s="306">
        <v>11054</v>
      </c>
      <c r="K139" s="318">
        <f t="shared" si="14"/>
        <v>0.55080039202874875</v>
      </c>
      <c r="L139" s="314">
        <f t="shared" si="15"/>
        <v>-0.45412345679012345</v>
      </c>
      <c r="M139" s="313">
        <f t="shared" si="16"/>
        <v>-9196</v>
      </c>
      <c r="N139" s="312">
        <f t="shared" si="17"/>
        <v>3.725951261222745</v>
      </c>
      <c r="O139" s="306">
        <f t="shared" si="18"/>
        <v>8715</v>
      </c>
      <c r="Q139" s="37"/>
      <c r="R139" s="103"/>
      <c r="Z139" s="1"/>
    </row>
    <row r="140" spans="1:31" s="4" customFormat="1" x14ac:dyDescent="0.25">
      <c r="B140" s="288" t="s">
        <v>50</v>
      </c>
      <c r="C140" s="306">
        <v>103133</v>
      </c>
      <c r="D140" s="306">
        <v>181693</v>
      </c>
      <c r="E140" s="306">
        <v>342343</v>
      </c>
      <c r="F140" s="306">
        <v>341923</v>
      </c>
      <c r="G140" s="312">
        <f t="shared" si="12"/>
        <v>-1.2268397484394011E-3</v>
      </c>
      <c r="H140" s="320">
        <f t="shared" si="13"/>
        <v>-420</v>
      </c>
      <c r="I140" s="314">
        <f t="shared" si="14"/>
        <v>0.32837143908058342</v>
      </c>
      <c r="J140" s="306">
        <v>382237</v>
      </c>
      <c r="K140" s="314">
        <f t="shared" si="14"/>
        <v>-1.7151257758902319E-2</v>
      </c>
      <c r="L140" s="314">
        <f t="shared" si="15"/>
        <v>0.1179037385610211</v>
      </c>
      <c r="M140" s="313">
        <f t="shared" si="16"/>
        <v>40314</v>
      </c>
      <c r="N140" s="312">
        <f t="shared" si="17"/>
        <v>2.7062530906693301</v>
      </c>
      <c r="O140" s="306">
        <f t="shared" si="18"/>
        <v>279104</v>
      </c>
      <c r="Q140" s="37"/>
      <c r="R140" s="103"/>
      <c r="Z140" s="1"/>
    </row>
    <row r="141" spans="1:31" s="4" customFormat="1" x14ac:dyDescent="0.25">
      <c r="B141" s="288" t="s">
        <v>52</v>
      </c>
      <c r="C141" s="306">
        <v>30584</v>
      </c>
      <c r="D141" s="306">
        <v>44398</v>
      </c>
      <c r="E141" s="306">
        <v>48630</v>
      </c>
      <c r="F141" s="306">
        <v>55684</v>
      </c>
      <c r="G141" s="312">
        <f t="shared" si="12"/>
        <v>0.14505449311124829</v>
      </c>
      <c r="H141" s="320">
        <f t="shared" si="13"/>
        <v>7054</v>
      </c>
      <c r="I141" s="314">
        <f t="shared" si="14"/>
        <v>5.3477055400669757E-2</v>
      </c>
      <c r="J141" s="306">
        <v>49807</v>
      </c>
      <c r="K141" s="318">
        <f t="shared" si="14"/>
        <v>0.28805945769356417</v>
      </c>
      <c r="L141" s="314">
        <f t="shared" si="15"/>
        <v>-0.10554198692622652</v>
      </c>
      <c r="M141" s="313">
        <f t="shared" si="16"/>
        <v>-5877</v>
      </c>
      <c r="N141" s="312">
        <f t="shared" si="17"/>
        <v>0.62853125817420863</v>
      </c>
      <c r="O141" s="306">
        <f t="shared" si="18"/>
        <v>19223</v>
      </c>
      <c r="Q141" s="37"/>
      <c r="R141" s="103"/>
      <c r="Z141" s="1"/>
    </row>
    <row r="142" spans="1:31" s="4" customFormat="1" x14ac:dyDescent="0.25">
      <c r="B142" s="288" t="s">
        <v>53</v>
      </c>
      <c r="C142" s="306">
        <v>61571</v>
      </c>
      <c r="D142" s="306">
        <v>104557</v>
      </c>
      <c r="E142" s="306">
        <v>134886</v>
      </c>
      <c r="F142" s="306">
        <v>146430</v>
      </c>
      <c r="G142" s="312">
        <f t="shared" si="12"/>
        <v>8.5583381522174262E-2</v>
      </c>
      <c r="H142" s="320">
        <f t="shared" si="13"/>
        <v>11544</v>
      </c>
      <c r="I142" s="314">
        <f t="shared" si="14"/>
        <v>0.14062648556713012</v>
      </c>
      <c r="J142" s="306">
        <v>156566</v>
      </c>
      <c r="K142" s="314">
        <f t="shared" si="14"/>
        <v>0.47141457040182949</v>
      </c>
      <c r="L142" s="314">
        <f t="shared" si="15"/>
        <v>6.9220788089872309E-2</v>
      </c>
      <c r="M142" s="313">
        <f t="shared" si="16"/>
        <v>10136</v>
      </c>
      <c r="N142" s="312">
        <f t="shared" si="17"/>
        <v>1.5428529664939665</v>
      </c>
      <c r="O142" s="306">
        <f t="shared" si="18"/>
        <v>94995</v>
      </c>
      <c r="Q142" s="37"/>
      <c r="R142" s="103"/>
      <c r="Z142" s="1"/>
    </row>
    <row r="143" spans="1:31" s="4" customFormat="1" x14ac:dyDescent="0.25">
      <c r="B143" s="288" t="s">
        <v>51</v>
      </c>
      <c r="C143" s="306">
        <v>16023</v>
      </c>
      <c r="D143" s="306">
        <v>21732</v>
      </c>
      <c r="E143" s="306">
        <v>33809</v>
      </c>
      <c r="F143" s="306">
        <v>37722</v>
      </c>
      <c r="G143" s="312">
        <f t="shared" si="12"/>
        <v>0.11573841284864983</v>
      </c>
      <c r="H143" s="320">
        <f t="shared" si="13"/>
        <v>3913</v>
      </c>
      <c r="I143" s="314">
        <f t="shared" si="14"/>
        <v>3.6226950000432162E-2</v>
      </c>
      <c r="J143" s="306">
        <v>35821</v>
      </c>
      <c r="K143" s="318">
        <f t="shared" si="14"/>
        <v>0.15979255145377327</v>
      </c>
      <c r="L143" s="314">
        <f t="shared" si="15"/>
        <v>-5.0394994963151474E-2</v>
      </c>
      <c r="M143" s="313">
        <f t="shared" si="16"/>
        <v>-1901</v>
      </c>
      <c r="N143" s="312">
        <f t="shared" si="17"/>
        <v>1.2355988266866378</v>
      </c>
      <c r="O143" s="306">
        <f t="shared" si="18"/>
        <v>19798</v>
      </c>
      <c r="Q143" s="37"/>
      <c r="R143" s="103"/>
      <c r="Z143" s="1"/>
    </row>
    <row r="144" spans="1:31" s="4" customFormat="1" x14ac:dyDescent="0.25">
      <c r="B144" s="288" t="s">
        <v>54</v>
      </c>
      <c r="C144" s="306">
        <v>26839</v>
      </c>
      <c r="D144" s="306">
        <v>45216</v>
      </c>
      <c r="E144" s="306">
        <v>29061</v>
      </c>
      <c r="F144" s="306">
        <v>32018</v>
      </c>
      <c r="G144" s="312">
        <f t="shared" si="12"/>
        <v>0.10175148824885594</v>
      </c>
      <c r="H144" s="320">
        <f t="shared" si="13"/>
        <v>2957</v>
      </c>
      <c r="I144" s="314">
        <f t="shared" si="14"/>
        <v>3.0749018745396241E-2</v>
      </c>
      <c r="J144" s="306">
        <v>29188</v>
      </c>
      <c r="K144" s="314">
        <f t="shared" si="14"/>
        <v>0.12075302188827181</v>
      </c>
      <c r="L144" s="314">
        <f t="shared" si="15"/>
        <v>-8.838778187269658E-2</v>
      </c>
      <c r="M144" s="313">
        <f t="shared" si="16"/>
        <v>-2830</v>
      </c>
      <c r="N144" s="312">
        <f t="shared" si="17"/>
        <v>8.752188978724984E-2</v>
      </c>
      <c r="O144" s="306">
        <f t="shared" si="18"/>
        <v>2349</v>
      </c>
      <c r="Q144" s="37"/>
      <c r="R144" s="103"/>
      <c r="Z144" s="1"/>
    </row>
    <row r="145" spans="2:31" s="4" customFormat="1" x14ac:dyDescent="0.25">
      <c r="B145" s="288" t="s">
        <v>49</v>
      </c>
      <c r="C145" s="306">
        <v>24273</v>
      </c>
      <c r="D145" s="306">
        <v>26311</v>
      </c>
      <c r="E145" s="306">
        <v>32375</v>
      </c>
      <c r="F145" s="306">
        <v>47068</v>
      </c>
      <c r="G145" s="312">
        <f t="shared" si="12"/>
        <v>0.45383783783783782</v>
      </c>
      <c r="H145" s="320">
        <f t="shared" si="13"/>
        <v>14693</v>
      </c>
      <c r="I145" s="314">
        <f t="shared" si="14"/>
        <v>4.5202536520342007E-2</v>
      </c>
      <c r="J145" s="306">
        <v>61312</v>
      </c>
      <c r="K145" s="318">
        <f t="shared" si="14"/>
        <v>0.60000816726559947</v>
      </c>
      <c r="L145" s="314">
        <f t="shared" si="15"/>
        <v>0.30262598793235318</v>
      </c>
      <c r="M145" s="313">
        <f t="shared" si="16"/>
        <v>14244</v>
      </c>
      <c r="N145" s="312">
        <f t="shared" si="17"/>
        <v>1.5259341655337204</v>
      </c>
      <c r="O145" s="306">
        <f t="shared" si="18"/>
        <v>37039</v>
      </c>
      <c r="Q145" s="37"/>
      <c r="R145" s="103"/>
      <c r="Z145" s="1"/>
    </row>
    <row r="146" spans="2:31" s="4" customFormat="1" x14ac:dyDescent="0.25">
      <c r="B146" s="288" t="s">
        <v>207</v>
      </c>
      <c r="C146" s="306">
        <f>C136-SUM(C137:C145)</f>
        <v>22164</v>
      </c>
      <c r="D146" s="306">
        <f>D136-SUM(D137:D145)</f>
        <v>40392</v>
      </c>
      <c r="E146" s="306">
        <f>E136-SUM(E137:E145)</f>
        <v>57756</v>
      </c>
      <c r="F146" s="306">
        <f>F136-SUM(F137:F145)</f>
        <v>59696</v>
      </c>
      <c r="G146" s="312">
        <f t="shared" si="12"/>
        <v>3.3589583766188813E-2</v>
      </c>
      <c r="H146" s="320">
        <f t="shared" si="13"/>
        <v>1940</v>
      </c>
      <c r="I146" s="314">
        <f t="shared" si="14"/>
        <v>5.7330046318482542E-2</v>
      </c>
      <c r="J146" s="306">
        <f>J136-SUM(J137:J145)</f>
        <v>55970</v>
      </c>
      <c r="K146" s="314">
        <f t="shared" si="14"/>
        <v>7.9222476314929763E-2</v>
      </c>
      <c r="L146" s="314">
        <f t="shared" si="15"/>
        <v>-6.2416242294291102E-2</v>
      </c>
      <c r="M146" s="313">
        <f t="shared" si="16"/>
        <v>-3726</v>
      </c>
      <c r="N146" s="312">
        <f t="shared" si="17"/>
        <v>1.5252661974372859</v>
      </c>
      <c r="O146" s="306">
        <f t="shared" si="18"/>
        <v>33806</v>
      </c>
      <c r="Q146" s="37"/>
      <c r="R146" s="103"/>
      <c r="Z146" s="1"/>
    </row>
    <row r="147" spans="2:31" s="4" customFormat="1" ht="7.5" customHeight="1" x14ac:dyDescent="0.25">
      <c r="B147" s="289"/>
      <c r="C147" s="289"/>
      <c r="D147" s="289"/>
      <c r="E147" s="289"/>
      <c r="F147" s="289"/>
      <c r="G147" s="289"/>
      <c r="H147" s="289"/>
      <c r="I147" s="289"/>
      <c r="J147" s="289"/>
      <c r="K147" s="289"/>
      <c r="L147" s="289"/>
      <c r="M147" s="289"/>
      <c r="N147" s="289"/>
      <c r="O147" s="289"/>
      <c r="Z147" s="1" t="s">
        <v>186</v>
      </c>
    </row>
    <row r="148" spans="2:31" s="4" customFormat="1" x14ac:dyDescent="0.25">
      <c r="B148" s="202" t="s">
        <v>187</v>
      </c>
      <c r="C148" s="202"/>
      <c r="D148" s="202"/>
      <c r="E148" s="202"/>
      <c r="F148" s="202"/>
      <c r="G148" s="202"/>
      <c r="H148" s="202"/>
      <c r="I148" s="202"/>
      <c r="J148" s="202"/>
      <c r="K148" s="202"/>
      <c r="L148" s="202"/>
      <c r="M148" s="202"/>
      <c r="N148" s="202"/>
      <c r="O148" s="202"/>
      <c r="Z148" s="1" t="s">
        <v>188</v>
      </c>
    </row>
    <row r="149" spans="2:31" x14ac:dyDescent="0.25">
      <c r="Z149" s="1"/>
      <c r="AE149"/>
    </row>
  </sheetData>
  <mergeCells count="2">
    <mergeCell ref="B42:S42"/>
    <mergeCell ref="B52:S5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FF2AC-2F66-470C-B878-A9BB0C295C55}">
  <sheetPr>
    <tabColor theme="4" tint="0.39997558519241921"/>
  </sheetPr>
  <dimension ref="A1:AE149"/>
  <sheetViews>
    <sheetView showGridLines="0" zoomScaleNormal="100" workbookViewId="0">
      <selection activeCell="G10" sqref="G10"/>
    </sheetView>
  </sheetViews>
  <sheetFormatPr baseColWidth="10" defaultRowHeight="15" x14ac:dyDescent="0.25"/>
  <cols>
    <col min="1" max="1" width="17.7109375" customWidth="1"/>
    <col min="2" max="2" width="33.5703125" customWidth="1"/>
    <col min="3" max="13" width="14.7109375" customWidth="1"/>
    <col min="14" max="14" width="11.42578125" customWidth="1"/>
    <col min="15" max="15" width="14.7109375" customWidth="1"/>
    <col min="27" max="27" width="14" customWidth="1"/>
    <col min="31" max="31" width="11.42578125" style="1"/>
  </cols>
  <sheetData>
    <row r="1" spans="1:31" ht="30" customHeight="1" x14ac:dyDescent="0.25">
      <c r="B1" s="1" t="s">
        <v>208</v>
      </c>
      <c r="G1" s="276"/>
      <c r="H1" s="276"/>
      <c r="I1" s="276"/>
      <c r="K1" s="276"/>
    </row>
    <row r="3" spans="1:31" s="4" customFormat="1" ht="25.5" customHeight="1" thickBot="1" x14ac:dyDescent="0.3">
      <c r="B3" s="85" t="s">
        <v>30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AE3" s="1"/>
    </row>
    <row r="4" spans="1:31" s="4" customFormat="1" ht="6" customHeight="1" x14ac:dyDescent="0.25">
      <c r="AE4" s="1"/>
    </row>
    <row r="5" spans="1:31" s="4" customFormat="1" ht="45" x14ac:dyDescent="0.25">
      <c r="C5" s="295" t="s">
        <v>265</v>
      </c>
      <c r="D5" s="295" t="s">
        <v>266</v>
      </c>
      <c r="E5" s="295" t="s">
        <v>267</v>
      </c>
      <c r="F5" s="296" t="str">
        <f>CONCATENATE("%/s total Tenerife ",RIGHT(E5,4))</f>
        <v>%/s total Tenerife 2022</v>
      </c>
      <c r="G5" s="295" t="s">
        <v>268</v>
      </c>
      <c r="H5" s="296" t="str">
        <f>CONCATENATE("var. ",RIGHT(G5,2),"/",RIGHT(E5,2))</f>
        <v>var. 23/22</v>
      </c>
      <c r="I5" s="296" t="str">
        <f>CONCATENATE("dif. ",RIGHT(G5,2),"/",RIGHT(E5,2))</f>
        <v>dif. 23/22</v>
      </c>
      <c r="J5" s="296" t="str">
        <f>CONCATENATE("%/s total Tenerife ",RIGHT(G5,4))</f>
        <v>%/s total Tenerife 2023</v>
      </c>
      <c r="K5" s="295" t="s">
        <v>269</v>
      </c>
      <c r="L5" s="296" t="str">
        <f>CONCATENATE("var. ",RIGHT(K5,2),"/",RIGHT(G5,2))</f>
        <v>var. 24/23</v>
      </c>
      <c r="M5" s="296" t="str">
        <f>CONCATENATE("dif. ",RIGHT(K5,2),"/",RIGHT(G5,2))</f>
        <v>dif. 24/23</v>
      </c>
      <c r="N5" s="296" t="str">
        <f>CONCATENATE("%/s total Tenerife ",RIGHT(K5,4))</f>
        <v>%/s total Tenerife 2024</v>
      </c>
      <c r="O5" s="295" t="s">
        <v>270</v>
      </c>
      <c r="P5" s="296" t="str">
        <f>CONCATENATE("var. ",RIGHT(O5,2),"/",RIGHT(K5,2))</f>
        <v>var. 25/24</v>
      </c>
      <c r="Q5" s="296" t="str">
        <f>CONCATENATE("dif. ",RIGHT(O5,2),"/",RIGHT(K5,2))</f>
        <v>dif. 25/24</v>
      </c>
      <c r="R5" s="296" t="str">
        <f>CONCATENATE("var. ",RIGHT(O5,2),"/",RIGHT(C5,2))</f>
        <v>var. 25/20</v>
      </c>
      <c r="S5" s="296" t="str">
        <f>CONCATENATE("dif. ",RIGHT(O5,2),"/",RIGHT(C5,2))</f>
        <v>dif. 25/20</v>
      </c>
      <c r="T5" s="296" t="str">
        <f>CONCATENATE("%/s total Tenerife ",RIGHT(O5,4))</f>
        <v>%/s total Tenerife 2025</v>
      </c>
      <c r="AE5" s="1"/>
    </row>
    <row r="6" spans="1:31" ht="18.75" x14ac:dyDescent="0.3">
      <c r="A6" s="4"/>
      <c r="B6" s="277" t="s">
        <v>206</v>
      </c>
      <c r="C6" s="297">
        <v>204209</v>
      </c>
      <c r="D6" s="297">
        <v>281277</v>
      </c>
      <c r="E6" s="297">
        <v>460086</v>
      </c>
      <c r="F6" s="298">
        <f>E6/$E$6</f>
        <v>1</v>
      </c>
      <c r="G6" s="297">
        <v>482014</v>
      </c>
      <c r="H6" s="298">
        <f>G6/E6-1</f>
        <v>4.7660654747155862E-2</v>
      </c>
      <c r="I6" s="297">
        <f>G6-E6</f>
        <v>21928</v>
      </c>
      <c r="J6" s="298">
        <f>G6/$G$6</f>
        <v>1</v>
      </c>
      <c r="K6" s="297">
        <v>496711</v>
      </c>
      <c r="L6" s="298">
        <f>K6/G6-1</f>
        <v>3.0490815619463429E-2</v>
      </c>
      <c r="M6" s="297">
        <f>K6-G6</f>
        <v>14697</v>
      </c>
      <c r="N6" s="298">
        <f>K6/$K$6</f>
        <v>1</v>
      </c>
      <c r="O6" s="297">
        <v>512362</v>
      </c>
      <c r="P6" s="298">
        <f>O6/K6-1</f>
        <v>3.1509267964671572E-2</v>
      </c>
      <c r="Q6" s="297">
        <f>O6-K6</f>
        <v>15651</v>
      </c>
      <c r="R6" s="298">
        <f>IFERROR(O6/C6-1,"-")</f>
        <v>1.5090079281520401</v>
      </c>
      <c r="S6" s="297">
        <f>O6-C6</f>
        <v>308153</v>
      </c>
      <c r="T6" s="298">
        <f>O6/$O$6</f>
        <v>1</v>
      </c>
      <c r="V6" s="37"/>
      <c r="W6" s="103"/>
      <c r="AE6" s="1" t="s">
        <v>179</v>
      </c>
    </row>
    <row r="7" spans="1:31" s="4" customFormat="1" x14ac:dyDescent="0.25">
      <c r="B7" s="288" t="s">
        <v>46</v>
      </c>
      <c r="C7" s="306">
        <v>33771</v>
      </c>
      <c r="D7" s="306">
        <v>97863</v>
      </c>
      <c r="E7" s="306">
        <v>97931</v>
      </c>
      <c r="F7" s="312">
        <f t="shared" ref="F7:F16" si="0">E7/$E$6</f>
        <v>0.21285368387649264</v>
      </c>
      <c r="G7" s="306">
        <v>85390</v>
      </c>
      <c r="H7" s="314">
        <f>G7/E7-1</f>
        <v>-0.12805955213364517</v>
      </c>
      <c r="I7" s="313">
        <f>G7-E7</f>
        <v>-12541</v>
      </c>
      <c r="J7" s="312">
        <f>G7/$G$6</f>
        <v>0.1771525308393532</v>
      </c>
      <c r="K7" s="306">
        <v>81243</v>
      </c>
      <c r="L7" s="314">
        <f>K7/G7-1</f>
        <v>-4.8565405785220728E-2</v>
      </c>
      <c r="M7" s="313">
        <f>K7-G7</f>
        <v>-4147</v>
      </c>
      <c r="N7" s="312">
        <f>K7/$K$6</f>
        <v>0.16356191024559552</v>
      </c>
      <c r="O7" s="306">
        <v>63882</v>
      </c>
      <c r="P7" s="314">
        <f>O7/K7-1</f>
        <v>-0.21369225656364244</v>
      </c>
      <c r="Q7" s="313">
        <f>O7-K7</f>
        <v>-17361</v>
      </c>
      <c r="R7" s="314">
        <f t="shared" ref="R7:R16" si="1">IFERROR(O7/C7-1,"-")</f>
        <v>0.89162299013946877</v>
      </c>
      <c r="S7" s="313">
        <f t="shared" ref="S7:S16" si="2">O7-C7</f>
        <v>30111</v>
      </c>
      <c r="T7" s="312">
        <f>O7/$O$6</f>
        <v>0.12468137761972981</v>
      </c>
      <c r="V7" s="37"/>
      <c r="W7" s="103"/>
      <c r="AE7" s="1" t="s">
        <v>181</v>
      </c>
    </row>
    <row r="8" spans="1:31" s="4" customFormat="1" x14ac:dyDescent="0.25">
      <c r="B8" s="288" t="s">
        <v>47</v>
      </c>
      <c r="C8" s="306">
        <v>18052</v>
      </c>
      <c r="D8" s="306">
        <v>26434</v>
      </c>
      <c r="E8" s="306">
        <v>59034</v>
      </c>
      <c r="F8" s="312">
        <f t="shared" si="0"/>
        <v>0.12831079406893495</v>
      </c>
      <c r="G8" s="306">
        <v>52383</v>
      </c>
      <c r="H8" s="314">
        <f t="shared" ref="H8:H16" si="3">G8/E8-1</f>
        <v>-0.11266388860656573</v>
      </c>
      <c r="I8" s="313">
        <f t="shared" ref="I8:I16" si="4">G8-E8</f>
        <v>-6651</v>
      </c>
      <c r="J8" s="312">
        <f t="shared" ref="J8:J16" si="5">G8/$G$6</f>
        <v>0.10867526669349853</v>
      </c>
      <c r="K8" s="306">
        <v>49661</v>
      </c>
      <c r="L8" s="314">
        <f t="shared" ref="L8:L16" si="6">K8/G8-1</f>
        <v>-5.1963423248000296E-2</v>
      </c>
      <c r="M8" s="313">
        <f t="shared" ref="M8:M16" si="7">K8-G8</f>
        <v>-2722</v>
      </c>
      <c r="N8" s="312">
        <f t="shared" ref="N8:N16" si="8">K8/$K$6</f>
        <v>9.9979666244556689E-2</v>
      </c>
      <c r="O8" s="306">
        <v>51981</v>
      </c>
      <c r="P8" s="314">
        <f t="shared" ref="P8:P16" si="9">O8/K8-1</f>
        <v>4.6716739493767756E-2</v>
      </c>
      <c r="Q8" s="313">
        <f t="shared" ref="Q8:Q16" si="10">O8-K8</f>
        <v>2320</v>
      </c>
      <c r="R8" s="314">
        <f t="shared" si="1"/>
        <v>1.879514735209395</v>
      </c>
      <c r="S8" s="313">
        <f t="shared" si="2"/>
        <v>33929</v>
      </c>
      <c r="T8" s="312">
        <f t="shared" ref="T8:T16" si="11">O8/$O$6</f>
        <v>0.1014536597171531</v>
      </c>
      <c r="V8" s="37"/>
      <c r="W8" s="103"/>
      <c r="AE8" s="1"/>
    </row>
    <row r="9" spans="1:31" s="4" customFormat="1" x14ac:dyDescent="0.25">
      <c r="B9" s="288" t="s">
        <v>48</v>
      </c>
      <c r="C9" s="306">
        <v>626</v>
      </c>
      <c r="D9" s="306">
        <v>1949</v>
      </c>
      <c r="E9" s="306">
        <v>2041</v>
      </c>
      <c r="F9" s="307">
        <f t="shared" si="0"/>
        <v>4.4361271588355218E-3</v>
      </c>
      <c r="G9" s="306">
        <v>4123</v>
      </c>
      <c r="H9" s="318">
        <f t="shared" si="3"/>
        <v>1.0200881920627145</v>
      </c>
      <c r="I9" s="309">
        <f t="shared" si="4"/>
        <v>2082</v>
      </c>
      <c r="J9" s="307">
        <f t="shared" si="5"/>
        <v>8.5536934611857747E-3</v>
      </c>
      <c r="K9" s="306">
        <v>2811</v>
      </c>
      <c r="L9" s="314">
        <f t="shared" si="6"/>
        <v>-0.31821489206888187</v>
      </c>
      <c r="M9" s="313">
        <f t="shared" si="7"/>
        <v>-1312</v>
      </c>
      <c r="N9" s="312">
        <f t="shared" si="8"/>
        <v>5.659226391201322E-3</v>
      </c>
      <c r="O9" s="306">
        <v>2925</v>
      </c>
      <c r="P9" s="314">
        <f t="shared" si="9"/>
        <v>4.0554962646744963E-2</v>
      </c>
      <c r="Q9" s="313">
        <f t="shared" si="10"/>
        <v>114</v>
      </c>
      <c r="R9" s="314">
        <f t="shared" si="1"/>
        <v>3.6725239616613417</v>
      </c>
      <c r="S9" s="313">
        <f t="shared" si="2"/>
        <v>2299</v>
      </c>
      <c r="T9" s="312">
        <f t="shared" si="11"/>
        <v>5.7088542866176647E-3</v>
      </c>
      <c r="V9" s="37"/>
      <c r="W9" s="103"/>
      <c r="AE9" s="1"/>
    </row>
    <row r="10" spans="1:31" s="4" customFormat="1" x14ac:dyDescent="0.25">
      <c r="B10" s="288" t="s">
        <v>50</v>
      </c>
      <c r="C10" s="306">
        <v>58827</v>
      </c>
      <c r="D10" s="306">
        <v>81037</v>
      </c>
      <c r="E10" s="306">
        <v>191127</v>
      </c>
      <c r="F10" s="312">
        <f t="shared" si="0"/>
        <v>0.41541581356528995</v>
      </c>
      <c r="G10" s="306">
        <v>201213</v>
      </c>
      <c r="H10" s="314">
        <f t="shared" si="3"/>
        <v>5.2771194022822598E-2</v>
      </c>
      <c r="I10" s="313">
        <f t="shared" si="4"/>
        <v>10086</v>
      </c>
      <c r="J10" s="312">
        <f t="shared" si="5"/>
        <v>0.41744223196836605</v>
      </c>
      <c r="K10" s="306">
        <v>219443</v>
      </c>
      <c r="L10" s="314">
        <f t="shared" si="6"/>
        <v>9.0600507919468498E-2</v>
      </c>
      <c r="M10" s="313">
        <f t="shared" si="7"/>
        <v>18230</v>
      </c>
      <c r="N10" s="312">
        <f t="shared" si="8"/>
        <v>0.4417921084896449</v>
      </c>
      <c r="O10" s="306">
        <v>240443</v>
      </c>
      <c r="P10" s="314">
        <f t="shared" si="9"/>
        <v>9.5696832434846391E-2</v>
      </c>
      <c r="Q10" s="313">
        <f t="shared" si="10"/>
        <v>21000</v>
      </c>
      <c r="R10" s="314">
        <f t="shared" si="1"/>
        <v>3.0872898498988564</v>
      </c>
      <c r="S10" s="313">
        <f t="shared" si="2"/>
        <v>181616</v>
      </c>
      <c r="T10" s="312">
        <f>O10/$O$6</f>
        <v>0.46928343632041408</v>
      </c>
      <c r="V10" s="37"/>
      <c r="W10" s="103"/>
      <c r="AE10" s="1"/>
    </row>
    <row r="11" spans="1:31" s="4" customFormat="1" x14ac:dyDescent="0.25">
      <c r="B11" s="288" t="s">
        <v>52</v>
      </c>
      <c r="C11" s="306">
        <v>22315</v>
      </c>
      <c r="D11" s="306">
        <v>15909</v>
      </c>
      <c r="E11" s="306">
        <v>24254</v>
      </c>
      <c r="F11" s="307">
        <f t="shared" si="0"/>
        <v>5.2716231313276213E-2</v>
      </c>
      <c r="G11" s="306">
        <v>26621</v>
      </c>
      <c r="H11" s="318">
        <f t="shared" si="3"/>
        <v>9.7592149748495061E-2</v>
      </c>
      <c r="I11" s="309">
        <f t="shared" si="4"/>
        <v>2367</v>
      </c>
      <c r="J11" s="307">
        <f t="shared" si="5"/>
        <v>5.5228686303717321E-2</v>
      </c>
      <c r="K11" s="306">
        <v>27150</v>
      </c>
      <c r="L11" s="314">
        <f t="shared" si="6"/>
        <v>1.9871529995116655E-2</v>
      </c>
      <c r="M11" s="313">
        <f t="shared" si="7"/>
        <v>529</v>
      </c>
      <c r="N11" s="312">
        <f t="shared" si="8"/>
        <v>5.4659550523342544E-2</v>
      </c>
      <c r="O11" s="306">
        <v>27078</v>
      </c>
      <c r="P11" s="314">
        <f t="shared" si="9"/>
        <v>-2.6519337016575051E-3</v>
      </c>
      <c r="Q11" s="313">
        <f t="shared" si="10"/>
        <v>-72</v>
      </c>
      <c r="R11" s="314">
        <f t="shared" si="1"/>
        <v>0.21344387183508839</v>
      </c>
      <c r="S11" s="313">
        <f t="shared" si="2"/>
        <v>4763</v>
      </c>
      <c r="T11" s="312">
        <f t="shared" si="11"/>
        <v>5.2849352606165169E-2</v>
      </c>
      <c r="V11" s="37"/>
      <c r="W11" s="103"/>
      <c r="AE11" s="1"/>
    </row>
    <row r="12" spans="1:31" s="4" customFormat="1" x14ac:dyDescent="0.25">
      <c r="B12" s="288" t="s">
        <v>53</v>
      </c>
      <c r="C12" s="306">
        <v>19639</v>
      </c>
      <c r="D12" s="306">
        <v>33892</v>
      </c>
      <c r="E12" s="306">
        <v>46536</v>
      </c>
      <c r="F12" s="312">
        <f t="shared" si="0"/>
        <v>0.10114630742948058</v>
      </c>
      <c r="G12" s="306">
        <v>59509</v>
      </c>
      <c r="H12" s="314">
        <f t="shared" si="3"/>
        <v>0.2787734227264913</v>
      </c>
      <c r="I12" s="313">
        <f t="shared" si="4"/>
        <v>12973</v>
      </c>
      <c r="J12" s="312">
        <f t="shared" si="5"/>
        <v>0.12345906965357853</v>
      </c>
      <c r="K12" s="306">
        <v>58416</v>
      </c>
      <c r="L12" s="314">
        <f t="shared" si="6"/>
        <v>-1.8366969702061864E-2</v>
      </c>
      <c r="M12" s="313">
        <f t="shared" si="7"/>
        <v>-1093</v>
      </c>
      <c r="N12" s="312">
        <f t="shared" si="8"/>
        <v>0.11760560970061061</v>
      </c>
      <c r="O12" s="306">
        <v>62014</v>
      </c>
      <c r="P12" s="314">
        <f t="shared" si="9"/>
        <v>6.1592714324842479E-2</v>
      </c>
      <c r="Q12" s="313">
        <f t="shared" si="10"/>
        <v>3598</v>
      </c>
      <c r="R12" s="314">
        <f t="shared" si="1"/>
        <v>2.1576964203880036</v>
      </c>
      <c r="S12" s="313">
        <f t="shared" si="2"/>
        <v>42375</v>
      </c>
      <c r="T12" s="312">
        <f t="shared" si="11"/>
        <v>0.12103551785651551</v>
      </c>
      <c r="V12" s="37"/>
      <c r="W12" s="103"/>
      <c r="AE12" s="1"/>
    </row>
    <row r="13" spans="1:31" s="4" customFormat="1" x14ac:dyDescent="0.25">
      <c r="B13" s="288" t="s">
        <v>51</v>
      </c>
      <c r="C13" s="306">
        <v>5101</v>
      </c>
      <c r="D13" s="306">
        <v>6944</v>
      </c>
      <c r="E13" s="306">
        <v>12895</v>
      </c>
      <c r="F13" s="307">
        <f t="shared" si="0"/>
        <v>2.8027368796268524E-2</v>
      </c>
      <c r="G13" s="306">
        <v>20325</v>
      </c>
      <c r="H13" s="318">
        <f t="shared" si="3"/>
        <v>0.57619232260566111</v>
      </c>
      <c r="I13" s="309">
        <f t="shared" si="4"/>
        <v>7430</v>
      </c>
      <c r="J13" s="307">
        <f t="shared" si="5"/>
        <v>4.2166825029978379E-2</v>
      </c>
      <c r="K13" s="306">
        <v>17951</v>
      </c>
      <c r="L13" s="314">
        <f t="shared" si="6"/>
        <v>-0.11680196801968024</v>
      </c>
      <c r="M13" s="313">
        <f t="shared" si="7"/>
        <v>-2374</v>
      </c>
      <c r="N13" s="312">
        <f t="shared" si="8"/>
        <v>3.6139727125028435E-2</v>
      </c>
      <c r="O13" s="306">
        <v>16376</v>
      </c>
      <c r="P13" s="314">
        <f t="shared" si="9"/>
        <v>-8.7738844632610946E-2</v>
      </c>
      <c r="Q13" s="313">
        <f t="shared" si="10"/>
        <v>-1575</v>
      </c>
      <c r="R13" s="314">
        <f t="shared" si="1"/>
        <v>2.2103509115859636</v>
      </c>
      <c r="S13" s="313">
        <f t="shared" si="2"/>
        <v>11275</v>
      </c>
      <c r="T13" s="312">
        <f t="shared" si="11"/>
        <v>3.1961777024837906E-2</v>
      </c>
      <c r="V13" s="37"/>
      <c r="W13" s="103"/>
      <c r="AE13" s="1"/>
    </row>
    <row r="14" spans="1:31" s="4" customFormat="1" x14ac:dyDescent="0.25">
      <c r="B14" s="288" t="s">
        <v>54</v>
      </c>
      <c r="C14" s="306">
        <v>4587</v>
      </c>
      <c r="D14" s="306">
        <v>9019</v>
      </c>
      <c r="E14" s="306">
        <v>7256</v>
      </c>
      <c r="F14" s="312">
        <f t="shared" si="0"/>
        <v>1.5770964558799876E-2</v>
      </c>
      <c r="G14" s="306">
        <v>9010</v>
      </c>
      <c r="H14" s="314">
        <f t="shared" si="3"/>
        <v>0.24173098125689085</v>
      </c>
      <c r="I14" s="313">
        <f t="shared" si="4"/>
        <v>1754</v>
      </c>
      <c r="J14" s="312">
        <f t="shared" si="5"/>
        <v>1.8692403125220428E-2</v>
      </c>
      <c r="K14" s="306">
        <v>7991</v>
      </c>
      <c r="L14" s="314">
        <f t="shared" si="6"/>
        <v>-0.11309655937846841</v>
      </c>
      <c r="M14" s="313">
        <f t="shared" si="7"/>
        <v>-1019</v>
      </c>
      <c r="N14" s="312">
        <f t="shared" si="8"/>
        <v>1.6087825717570177E-2</v>
      </c>
      <c r="O14" s="306">
        <v>10248</v>
      </c>
      <c r="P14" s="314">
        <f t="shared" si="9"/>
        <v>0.28244274809160297</v>
      </c>
      <c r="Q14" s="313">
        <f t="shared" si="10"/>
        <v>2257</v>
      </c>
      <c r="R14" s="314">
        <f t="shared" si="1"/>
        <v>1.2341399607586658</v>
      </c>
      <c r="S14" s="313">
        <f t="shared" si="2"/>
        <v>5661</v>
      </c>
      <c r="T14" s="312">
        <f t="shared" si="11"/>
        <v>2.0001483326241992E-2</v>
      </c>
      <c r="V14" s="37"/>
      <c r="W14" s="103"/>
      <c r="AE14" s="1"/>
    </row>
    <row r="15" spans="1:31" s="4" customFormat="1" x14ac:dyDescent="0.25">
      <c r="B15" s="288" t="s">
        <v>49</v>
      </c>
      <c r="C15" s="306">
        <v>10850</v>
      </c>
      <c r="D15" s="306">
        <v>2574</v>
      </c>
      <c r="E15" s="306">
        <v>6675</v>
      </c>
      <c r="F15" s="307">
        <f t="shared" si="0"/>
        <v>1.4508157170615928E-2</v>
      </c>
      <c r="G15" s="306">
        <v>10712</v>
      </c>
      <c r="H15" s="318">
        <f t="shared" si="3"/>
        <v>0.60479400749063661</v>
      </c>
      <c r="I15" s="309">
        <f t="shared" si="4"/>
        <v>4037</v>
      </c>
      <c r="J15" s="307">
        <f t="shared" si="5"/>
        <v>2.2223420896488485E-2</v>
      </c>
      <c r="K15" s="306">
        <v>17927</v>
      </c>
      <c r="L15" s="314">
        <f t="shared" si="6"/>
        <v>0.67354368932038833</v>
      </c>
      <c r="M15" s="313">
        <f t="shared" si="7"/>
        <v>7215</v>
      </c>
      <c r="N15" s="312">
        <f t="shared" si="8"/>
        <v>3.6091409290311668E-2</v>
      </c>
      <c r="O15" s="306">
        <v>21282</v>
      </c>
      <c r="P15" s="314">
        <f t="shared" si="9"/>
        <v>0.18714787750320738</v>
      </c>
      <c r="Q15" s="313">
        <f t="shared" si="10"/>
        <v>3355</v>
      </c>
      <c r="R15" s="314">
        <f t="shared" si="1"/>
        <v>0.96147465437788027</v>
      </c>
      <c r="S15" s="313">
        <f t="shared" si="2"/>
        <v>10432</v>
      </c>
      <c r="T15" s="312">
        <f t="shared" si="11"/>
        <v>4.1537038265913553E-2</v>
      </c>
      <c r="V15" s="37"/>
      <c r="W15" s="103"/>
      <c r="AE15" s="1"/>
    </row>
    <row r="16" spans="1:31" s="4" customFormat="1" x14ac:dyDescent="0.25">
      <c r="B16" s="288" t="s">
        <v>207</v>
      </c>
      <c r="C16" s="306">
        <f>C6-SUM(C7:C15)</f>
        <v>30441</v>
      </c>
      <c r="D16" s="306">
        <f>D6-SUM(D7:D15)</f>
        <v>5656</v>
      </c>
      <c r="E16" s="306">
        <f>E6-SUM(E7:E15)</f>
        <v>12337</v>
      </c>
      <c r="F16" s="312">
        <f t="shared" si="0"/>
        <v>2.6814552062005798E-2</v>
      </c>
      <c r="G16" s="306">
        <f>G6-SUM(G7:G15)</f>
        <v>12728</v>
      </c>
      <c r="H16" s="314">
        <f t="shared" si="3"/>
        <v>3.1693280376104305E-2</v>
      </c>
      <c r="I16" s="313">
        <f t="shared" si="4"/>
        <v>391</v>
      </c>
      <c r="J16" s="312">
        <f t="shared" si="5"/>
        <v>2.6405872028613275E-2</v>
      </c>
      <c r="K16" s="306">
        <f>K6-SUM(K7:K15)</f>
        <v>14118</v>
      </c>
      <c r="L16" s="314">
        <f t="shared" si="6"/>
        <v>0.10920804525455696</v>
      </c>
      <c r="M16" s="313">
        <f t="shared" si="7"/>
        <v>1390</v>
      </c>
      <c r="N16" s="312">
        <f t="shared" si="8"/>
        <v>2.8422966272138125E-2</v>
      </c>
      <c r="O16" s="306">
        <f>O6-SUM(O7:O15)</f>
        <v>16133</v>
      </c>
      <c r="P16" s="314">
        <f t="shared" si="9"/>
        <v>0.14272559852670352</v>
      </c>
      <c r="Q16" s="313">
        <f t="shared" si="10"/>
        <v>2015</v>
      </c>
      <c r="R16" s="314">
        <f t="shared" si="1"/>
        <v>-0.47002398081534769</v>
      </c>
      <c r="S16" s="313">
        <f t="shared" si="2"/>
        <v>-14308</v>
      </c>
      <c r="T16" s="312">
        <f t="shared" si="11"/>
        <v>3.1487502976411209E-2</v>
      </c>
      <c r="V16" s="37"/>
      <c r="W16" s="103"/>
      <c r="AE16" s="1"/>
    </row>
    <row r="17" spans="2:31" s="4" customFormat="1" ht="7.5" customHeight="1" x14ac:dyDescent="0.25">
      <c r="B17" s="289"/>
      <c r="C17" s="289"/>
      <c r="D17" s="289"/>
      <c r="E17" s="289"/>
      <c r="F17" s="289"/>
      <c r="G17" s="289"/>
      <c r="H17" s="289"/>
      <c r="I17" s="289"/>
      <c r="J17" s="289"/>
      <c r="K17" s="289"/>
      <c r="L17" s="289"/>
      <c r="M17" s="289"/>
      <c r="N17" s="289"/>
      <c r="O17" s="289"/>
      <c r="P17" s="289"/>
      <c r="Q17" s="289"/>
      <c r="R17" s="289"/>
      <c r="S17" s="289"/>
      <c r="T17" s="289"/>
      <c r="AE17" s="1" t="s">
        <v>186</v>
      </c>
    </row>
    <row r="18" spans="2:31" s="4" customFormat="1" x14ac:dyDescent="0.25">
      <c r="B18" s="202" t="s">
        <v>187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AE18" s="1" t="s">
        <v>188</v>
      </c>
    </row>
    <row r="19" spans="2:31" s="4" customFormat="1" x14ac:dyDescent="0.25">
      <c r="AE19" s="1"/>
    </row>
    <row r="42" spans="2:31" s="4" customFormat="1" ht="15.75" hidden="1" customHeight="1" thickBot="1" x14ac:dyDescent="0.3">
      <c r="B42" s="12" t="s">
        <v>189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07"/>
      <c r="AE42" s="1"/>
    </row>
    <row r="43" spans="2:31" s="4" customFormat="1" ht="6" hidden="1" customHeight="1" thickBot="1" x14ac:dyDescent="0.3">
      <c r="AE43" s="1"/>
    </row>
    <row r="44" spans="2:31" s="4" customFormat="1" ht="30" hidden="1" x14ac:dyDescent="0.25">
      <c r="C44" s="112"/>
      <c r="D44" s="112"/>
      <c r="E44" s="112"/>
      <c r="F44" s="112"/>
      <c r="G44" s="112"/>
      <c r="H44" s="112"/>
      <c r="I44" s="112"/>
      <c r="J44" s="112"/>
      <c r="K44" s="15">
        <v>2020</v>
      </c>
      <c r="L44" s="15"/>
      <c r="M44" s="15"/>
      <c r="N44" s="15" t="s">
        <v>190</v>
      </c>
      <c r="O44" s="15">
        <v>2021</v>
      </c>
      <c r="P44" s="15" t="s">
        <v>190</v>
      </c>
      <c r="Q44" s="15" t="s">
        <v>191</v>
      </c>
      <c r="R44" s="15" t="s">
        <v>192</v>
      </c>
      <c r="S44" s="15" t="s">
        <v>193</v>
      </c>
      <c r="T44" s="112"/>
      <c r="AE44" s="1"/>
    </row>
    <row r="45" spans="2:31" s="4" customFormat="1" ht="18.75" hidden="1" x14ac:dyDescent="0.3">
      <c r="B45" s="277" t="s">
        <v>177</v>
      </c>
      <c r="C45" s="278"/>
      <c r="D45" s="278"/>
      <c r="E45" s="278"/>
      <c r="F45" s="278"/>
      <c r="G45" s="278"/>
      <c r="H45" s="278"/>
      <c r="I45" s="278"/>
      <c r="J45" s="278"/>
      <c r="K45" s="278">
        <v>1824653</v>
      </c>
      <c r="L45" s="278"/>
      <c r="M45" s="278"/>
      <c r="N45" s="279"/>
      <c r="O45" s="278">
        <v>2354005</v>
      </c>
      <c r="P45" s="279"/>
      <c r="Q45" s="279">
        <v>1</v>
      </c>
      <c r="R45" s="279">
        <v>0.2901110512519367</v>
      </c>
      <c r="S45" s="278">
        <v>529352</v>
      </c>
      <c r="T45" s="290"/>
      <c r="AE45" s="1"/>
    </row>
    <row r="46" spans="2:31" ht="18.75" hidden="1" x14ac:dyDescent="0.3">
      <c r="B46" s="277" t="s">
        <v>178</v>
      </c>
      <c r="C46" s="278"/>
      <c r="D46" s="278"/>
      <c r="E46" s="278"/>
      <c r="F46" s="278"/>
      <c r="G46" s="278"/>
      <c r="H46" s="278"/>
      <c r="I46" s="278"/>
      <c r="J46" s="278"/>
      <c r="K46" s="278">
        <v>603938</v>
      </c>
      <c r="L46" s="278"/>
      <c r="M46" s="278"/>
      <c r="N46" s="279">
        <v>1</v>
      </c>
      <c r="O46" s="278">
        <v>936181</v>
      </c>
      <c r="P46" s="279">
        <v>1</v>
      </c>
      <c r="Q46" s="279">
        <v>0.39769711619134201</v>
      </c>
      <c r="R46" s="279">
        <v>0.55012766211101138</v>
      </c>
      <c r="S46" s="278">
        <v>332243</v>
      </c>
      <c r="T46" s="290"/>
      <c r="AE46" s="1" t="s">
        <v>179</v>
      </c>
    </row>
    <row r="47" spans="2:31" ht="15.75" hidden="1" x14ac:dyDescent="0.25">
      <c r="B47" s="280" t="s">
        <v>102</v>
      </c>
      <c r="C47" s="281"/>
      <c r="D47" s="281"/>
      <c r="E47" s="281"/>
      <c r="F47" s="281"/>
      <c r="G47" s="281"/>
      <c r="H47" s="281"/>
      <c r="I47" s="281"/>
      <c r="J47" s="281"/>
      <c r="K47" s="281">
        <v>276550.36166633503</v>
      </c>
      <c r="L47" s="281"/>
      <c r="M47" s="281"/>
      <c r="N47" s="282">
        <v>0.45791184139155844</v>
      </c>
      <c r="O47" s="281">
        <v>430252.45635520399</v>
      </c>
      <c r="P47" s="282">
        <v>0.4595825554622493</v>
      </c>
      <c r="Q47" s="282">
        <v>0.18277465695918402</v>
      </c>
      <c r="R47" s="282">
        <v>0.55578337978930015</v>
      </c>
      <c r="S47" s="281">
        <v>153702.09468886897</v>
      </c>
      <c r="T47" s="291"/>
      <c r="AE47" s="1" t="s">
        <v>180</v>
      </c>
    </row>
    <row r="48" spans="2:31" s="4" customFormat="1" hidden="1" x14ac:dyDescent="0.25">
      <c r="B48" s="283" t="s">
        <v>105</v>
      </c>
      <c r="C48" s="284"/>
      <c r="D48" s="284"/>
      <c r="E48" s="284"/>
      <c r="F48" s="284"/>
      <c r="G48" s="284"/>
      <c r="H48" s="284"/>
      <c r="I48" s="284"/>
      <c r="J48" s="284"/>
      <c r="K48" s="284">
        <v>327387.63833385095</v>
      </c>
      <c r="L48" s="284"/>
      <c r="M48" s="284"/>
      <c r="N48" s="287">
        <v>0.54208815860874948</v>
      </c>
      <c r="O48" s="284">
        <v>505927.5436448183</v>
      </c>
      <c r="P48" s="287">
        <v>0.54041637636826456</v>
      </c>
      <c r="Q48" s="287">
        <v>0.21492203442423372</v>
      </c>
      <c r="R48" s="285">
        <v>0.54534711884540576</v>
      </c>
      <c r="S48" s="286">
        <v>178539.90531096736</v>
      </c>
      <c r="T48" s="293"/>
      <c r="AE48" s="1" t="s">
        <v>181</v>
      </c>
    </row>
    <row r="49" spans="2:31" s="4" customFormat="1" hidden="1" x14ac:dyDescent="0.25">
      <c r="B49" s="288" t="s">
        <v>182</v>
      </c>
      <c r="C49" s="37"/>
      <c r="D49" s="37"/>
      <c r="E49" s="37"/>
      <c r="F49" s="37"/>
      <c r="G49" s="37"/>
      <c r="H49" s="37"/>
      <c r="I49" s="37"/>
      <c r="J49" s="37"/>
      <c r="K49" s="37">
        <v>242109.12821622068</v>
      </c>
      <c r="L49" s="37"/>
      <c r="M49" s="37"/>
      <c r="N49" s="39">
        <v>0.4008840778626625</v>
      </c>
      <c r="O49" s="37">
        <v>391384.01224089495</v>
      </c>
      <c r="P49" s="39">
        <v>0.41806446855992052</v>
      </c>
      <c r="Q49" s="39">
        <v>0.16626303352834634</v>
      </c>
      <c r="R49" s="27">
        <v>0.61656033014732592</v>
      </c>
      <c r="S49" s="25">
        <v>149274.88402467428</v>
      </c>
      <c r="T49" s="25"/>
      <c r="AE49" s="1" t="s">
        <v>183</v>
      </c>
    </row>
    <row r="50" spans="2:31" s="4" customFormat="1" hidden="1" x14ac:dyDescent="0.25">
      <c r="B50" s="288" t="s">
        <v>184</v>
      </c>
      <c r="C50" s="37"/>
      <c r="D50" s="37"/>
      <c r="E50" s="37"/>
      <c r="F50" s="37"/>
      <c r="G50" s="37"/>
      <c r="H50" s="37"/>
      <c r="I50" s="37"/>
      <c r="J50" s="37"/>
      <c r="K50" s="37">
        <v>85278.510117630256</v>
      </c>
      <c r="L50" s="37"/>
      <c r="M50" s="37"/>
      <c r="N50" s="39">
        <v>0.14120408074608695</v>
      </c>
      <c r="O50" s="37">
        <v>114543.53140392336</v>
      </c>
      <c r="P50" s="39">
        <v>0.12235190780834407</v>
      </c>
      <c r="Q50" s="39">
        <v>4.8659000895887379E-2</v>
      </c>
      <c r="R50" s="27">
        <v>0.34316994100771625</v>
      </c>
      <c r="S50" s="25">
        <v>29265.021286293108</v>
      </c>
      <c r="T50" s="25"/>
      <c r="AE50" s="1" t="s">
        <v>185</v>
      </c>
    </row>
    <row r="51" spans="2:31" s="4" customFormat="1" ht="7.5" hidden="1" customHeight="1" x14ac:dyDescent="0.25">
      <c r="B51" s="289"/>
      <c r="C51" s="289"/>
      <c r="D51" s="289"/>
      <c r="E51" s="289"/>
      <c r="F51" s="289"/>
      <c r="G51" s="289"/>
      <c r="H51" s="289"/>
      <c r="I51" s="289"/>
      <c r="J51" s="289"/>
      <c r="K51" s="289"/>
      <c r="L51" s="289"/>
      <c r="M51" s="289"/>
      <c r="N51" s="289"/>
      <c r="O51" s="289"/>
      <c r="P51" s="289"/>
      <c r="Q51" s="289"/>
      <c r="R51" s="289"/>
      <c r="S51" s="289"/>
      <c r="AE51" s="1" t="s">
        <v>186</v>
      </c>
    </row>
    <row r="52" spans="2:31" s="4" customFormat="1" hidden="1" x14ac:dyDescent="0.25">
      <c r="B52" s="66" t="s">
        <v>187</v>
      </c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294"/>
      <c r="AE52" s="1" t="s">
        <v>188</v>
      </c>
    </row>
    <row r="53" spans="2:31" s="4" customFormat="1" hidden="1" x14ac:dyDescent="0.25">
      <c r="AE53" s="1"/>
    </row>
    <row r="54" spans="2:31" hidden="1" x14ac:dyDescent="0.25">
      <c r="C54" s="153"/>
      <c r="D54" s="153"/>
      <c r="E54" s="153"/>
      <c r="F54" s="153"/>
      <c r="G54" s="153"/>
      <c r="H54" s="153"/>
      <c r="I54" s="153"/>
      <c r="J54" s="153"/>
      <c r="K54" s="153">
        <v>0.54208815860874948</v>
      </c>
      <c r="L54" s="153"/>
      <c r="M54" s="153"/>
    </row>
    <row r="55" spans="2:31" hidden="1" x14ac:dyDescent="0.25"/>
    <row r="56" spans="2:31" hidden="1" x14ac:dyDescent="0.25"/>
    <row r="57" spans="2:31" hidden="1" x14ac:dyDescent="0.25"/>
    <row r="58" spans="2:31" hidden="1" x14ac:dyDescent="0.25"/>
    <row r="59" spans="2:31" hidden="1" x14ac:dyDescent="0.25"/>
    <row r="60" spans="2:31" hidden="1" x14ac:dyDescent="0.25"/>
    <row r="61" spans="2:31" hidden="1" x14ac:dyDescent="0.25"/>
    <row r="62" spans="2:31" hidden="1" x14ac:dyDescent="0.25"/>
    <row r="63" spans="2:31" hidden="1" x14ac:dyDescent="0.25"/>
    <row r="64" spans="2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33" spans="1:31" s="4" customFormat="1" ht="25.5" customHeight="1" thickBot="1" x14ac:dyDescent="0.3">
      <c r="B133" s="85" t="s">
        <v>30</v>
      </c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Z133" s="1"/>
    </row>
    <row r="134" spans="1:31" s="4" customFormat="1" ht="6" customHeight="1" x14ac:dyDescent="0.25">
      <c r="Z134" s="1"/>
    </row>
    <row r="135" spans="1:31" s="4" customFormat="1" ht="30" x14ac:dyDescent="0.25">
      <c r="C135" s="218">
        <v>2020</v>
      </c>
      <c r="D135" s="218">
        <v>2021</v>
      </c>
      <c r="E135" s="218">
        <v>2022</v>
      </c>
      <c r="F135" s="218">
        <v>2023</v>
      </c>
      <c r="G135" s="206" t="str">
        <f>CONCATENATE("var. ",RIGHT(F135,2),"/",RIGHT(E135,2))</f>
        <v>var. 23/22</v>
      </c>
      <c r="H135" s="206" t="str">
        <f>CONCATENATE("dif. ",RIGHT(F135,2),"/",RIGHT(E135,2))</f>
        <v>dif. 23/22</v>
      </c>
      <c r="I135" s="206" t="str">
        <f>CONCATENATE("%/s total Península ",RIGHT(F135,4))</f>
        <v>%/s total Península 2023</v>
      </c>
      <c r="J135" s="218">
        <v>2024</v>
      </c>
      <c r="K135" s="206" t="str">
        <f>CONCATENATE("%/s total España ",RIGHT(J135,4))</f>
        <v>%/s total España 2024</v>
      </c>
      <c r="L135" s="206" t="str">
        <f>CONCATENATE("var. ",RIGHT(J135,2),"/",RIGHT(F135,2))</f>
        <v>var. 24/23</v>
      </c>
      <c r="M135" s="206" t="str">
        <f>CONCATENATE("dif. ",RIGHT(J135,2),"/",RIGHT(F135,2))</f>
        <v>dif. 24/23</v>
      </c>
      <c r="N135" s="206" t="str">
        <f>CONCATENATE("var. ",RIGHT(J135,2),"/",RIGHT(C135,2))</f>
        <v>var. 24/20</v>
      </c>
      <c r="O135" s="206" t="str">
        <f>CONCATENATE("dif. ",RIGHT(J135,2),"/",RIGHT(C135,2))</f>
        <v>dif. 24/20</v>
      </c>
      <c r="Z135" s="1"/>
    </row>
    <row r="136" spans="1:31" ht="18.75" x14ac:dyDescent="0.3">
      <c r="A136" s="4"/>
      <c r="B136" s="277" t="s">
        <v>206</v>
      </c>
      <c r="C136" s="281">
        <v>248294</v>
      </c>
      <c r="D136" s="281">
        <v>384253</v>
      </c>
      <c r="E136" s="281">
        <v>593573</v>
      </c>
      <c r="F136" s="281">
        <v>612478</v>
      </c>
      <c r="G136" s="282">
        <f>F136/E136-1</f>
        <v>3.1849494501939857E-2</v>
      </c>
      <c r="H136" s="281">
        <f>F136-E136</f>
        <v>18905</v>
      </c>
      <c r="I136" s="282">
        <f>F136/F$136</f>
        <v>1</v>
      </c>
      <c r="J136" s="281">
        <v>636461</v>
      </c>
      <c r="K136" s="282">
        <f>H136/H$136</f>
        <v>1</v>
      </c>
      <c r="L136" s="282">
        <f>J136/F136-1</f>
        <v>3.915732483452472E-2</v>
      </c>
      <c r="M136" s="281">
        <f>J136-F136</f>
        <v>23983</v>
      </c>
      <c r="N136" s="282">
        <f>J136/C136-1</f>
        <v>1.5633362062715972</v>
      </c>
      <c r="O136" s="281">
        <f>J136-C136</f>
        <v>388167</v>
      </c>
      <c r="Q136" s="37"/>
      <c r="R136" s="103"/>
      <c r="Z136" s="1" t="s">
        <v>179</v>
      </c>
      <c r="AE136"/>
    </row>
    <row r="137" spans="1:31" s="4" customFormat="1" x14ac:dyDescent="0.25">
      <c r="B137" s="288" t="s">
        <v>46</v>
      </c>
      <c r="C137" s="306">
        <v>49521</v>
      </c>
      <c r="D137" s="306">
        <v>120918</v>
      </c>
      <c r="E137" s="306">
        <v>120397</v>
      </c>
      <c r="F137" s="306">
        <v>106138</v>
      </c>
      <c r="G137" s="312">
        <f t="shared" ref="G137:G146" si="12">F137/E137-1</f>
        <v>-0.11843318355108512</v>
      </c>
      <c r="H137" s="320">
        <f t="shared" ref="H137:H146" si="13">F137-E137</f>
        <v>-14259</v>
      </c>
      <c r="I137" s="314">
        <f t="shared" ref="I137:K146" si="14">F137/F$136</f>
        <v>0.17329275500507774</v>
      </c>
      <c r="J137" s="306">
        <v>101169</v>
      </c>
      <c r="K137" s="314">
        <f t="shared" si="14"/>
        <v>-0.75424490875429784</v>
      </c>
      <c r="L137" s="314">
        <f t="shared" ref="L137:L146" si="15">J137/F137-1</f>
        <v>-4.6816408826245048E-2</v>
      </c>
      <c r="M137" s="313">
        <f t="shared" ref="M137:M146" si="16">J137-F137</f>
        <v>-4969</v>
      </c>
      <c r="N137" s="312">
        <f t="shared" ref="N137:N145" si="17">J137/C137-1</f>
        <v>1.0429514751317623</v>
      </c>
      <c r="O137" s="306">
        <f t="shared" ref="O137:O146" si="18">J137-C137</f>
        <v>51648</v>
      </c>
      <c r="Q137" s="37"/>
      <c r="R137" s="103"/>
      <c r="Z137" s="1" t="s">
        <v>181</v>
      </c>
    </row>
    <row r="138" spans="1:31" s="4" customFormat="1" x14ac:dyDescent="0.25">
      <c r="B138" s="288" t="s">
        <v>47</v>
      </c>
      <c r="C138" s="306">
        <v>26848</v>
      </c>
      <c r="D138" s="306">
        <v>39986</v>
      </c>
      <c r="E138" s="306">
        <v>75857</v>
      </c>
      <c r="F138" s="306">
        <v>67064</v>
      </c>
      <c r="G138" s="312">
        <f t="shared" si="12"/>
        <v>-0.1159154725338466</v>
      </c>
      <c r="H138" s="320">
        <f t="shared" si="13"/>
        <v>-8793</v>
      </c>
      <c r="I138" s="314">
        <f t="shared" si="14"/>
        <v>0.10949617782189727</v>
      </c>
      <c r="J138" s="306">
        <v>64415</v>
      </c>
      <c r="K138" s="314">
        <f t="shared" si="14"/>
        <v>-0.4651150489288548</v>
      </c>
      <c r="L138" s="314">
        <f t="shared" si="15"/>
        <v>-3.9499582488369267E-2</v>
      </c>
      <c r="M138" s="313">
        <f t="shared" si="16"/>
        <v>-2649</v>
      </c>
      <c r="N138" s="312">
        <f t="shared" si="17"/>
        <v>1.3992476162097733</v>
      </c>
      <c r="O138" s="306">
        <f t="shared" si="18"/>
        <v>37567</v>
      </c>
      <c r="Q138" s="37"/>
      <c r="R138" s="103"/>
      <c r="Z138" s="1"/>
    </row>
    <row r="139" spans="1:31" s="4" customFormat="1" x14ac:dyDescent="0.25">
      <c r="B139" s="288" t="s">
        <v>48</v>
      </c>
      <c r="C139" s="306">
        <v>681</v>
      </c>
      <c r="D139" s="306">
        <v>2535</v>
      </c>
      <c r="E139" s="306">
        <v>3247</v>
      </c>
      <c r="F139" s="306">
        <v>5439</v>
      </c>
      <c r="G139" s="312">
        <f t="shared" si="12"/>
        <v>0.67508469356328926</v>
      </c>
      <c r="H139" s="321">
        <f t="shared" si="13"/>
        <v>2192</v>
      </c>
      <c r="I139" s="318">
        <f t="shared" si="14"/>
        <v>8.8803189665587982E-3</v>
      </c>
      <c r="J139" s="306">
        <v>3803</v>
      </c>
      <c r="K139" s="318">
        <f t="shared" si="14"/>
        <v>0.11594816186194129</v>
      </c>
      <c r="L139" s="314">
        <f t="shared" si="15"/>
        <v>-0.30079058650487223</v>
      </c>
      <c r="M139" s="313">
        <f t="shared" si="16"/>
        <v>-1636</v>
      </c>
      <c r="N139" s="312">
        <f t="shared" si="17"/>
        <v>4.5844346549192361</v>
      </c>
      <c r="O139" s="306">
        <f t="shared" si="18"/>
        <v>3122</v>
      </c>
      <c r="Q139" s="37"/>
      <c r="R139" s="103"/>
      <c r="Z139" s="1"/>
    </row>
    <row r="140" spans="1:31" s="4" customFormat="1" x14ac:dyDescent="0.25">
      <c r="B140" s="288" t="s">
        <v>50</v>
      </c>
      <c r="C140" s="306">
        <v>74813</v>
      </c>
      <c r="D140" s="306">
        <v>114704</v>
      </c>
      <c r="E140" s="306">
        <v>244952</v>
      </c>
      <c r="F140" s="306">
        <v>249820</v>
      </c>
      <c r="G140" s="312">
        <f t="shared" si="12"/>
        <v>1.987328129592747E-2</v>
      </c>
      <c r="H140" s="320">
        <f t="shared" si="13"/>
        <v>4868</v>
      </c>
      <c r="I140" s="314">
        <f t="shared" si="14"/>
        <v>0.40788403828382408</v>
      </c>
      <c r="J140" s="306">
        <v>275953</v>
      </c>
      <c r="K140" s="314">
        <f t="shared" si="14"/>
        <v>0.25749801639777836</v>
      </c>
      <c r="L140" s="314">
        <f t="shared" si="15"/>
        <v>0.1046073172684332</v>
      </c>
      <c r="M140" s="313">
        <f t="shared" si="16"/>
        <v>26133</v>
      </c>
      <c r="N140" s="312">
        <f t="shared" si="17"/>
        <v>2.6885701682862604</v>
      </c>
      <c r="O140" s="306">
        <f t="shared" si="18"/>
        <v>201140</v>
      </c>
      <c r="Q140" s="37"/>
      <c r="R140" s="103"/>
      <c r="Z140" s="1"/>
    </row>
    <row r="141" spans="1:31" s="4" customFormat="1" x14ac:dyDescent="0.25">
      <c r="B141" s="288" t="s">
        <v>52</v>
      </c>
      <c r="C141" s="306">
        <v>25621</v>
      </c>
      <c r="D141" s="306">
        <v>20278</v>
      </c>
      <c r="E141" s="306">
        <v>32271</v>
      </c>
      <c r="F141" s="306">
        <v>36164</v>
      </c>
      <c r="G141" s="312">
        <f t="shared" si="12"/>
        <v>0.12063462551516846</v>
      </c>
      <c r="H141" s="321">
        <f t="shared" si="13"/>
        <v>3893</v>
      </c>
      <c r="I141" s="318">
        <f t="shared" si="14"/>
        <v>5.9045386119991251E-2</v>
      </c>
      <c r="J141" s="306">
        <v>33708</v>
      </c>
      <c r="K141" s="318">
        <f t="shared" si="14"/>
        <v>0.20592435863528166</v>
      </c>
      <c r="L141" s="314">
        <f t="shared" si="15"/>
        <v>-6.791284149983412E-2</v>
      </c>
      <c r="M141" s="313">
        <f t="shared" si="16"/>
        <v>-2456</v>
      </c>
      <c r="N141" s="312">
        <f t="shared" si="17"/>
        <v>0.31563951446079397</v>
      </c>
      <c r="O141" s="306">
        <f t="shared" si="18"/>
        <v>8087</v>
      </c>
      <c r="Q141" s="37"/>
      <c r="R141" s="103"/>
      <c r="Z141" s="1"/>
    </row>
    <row r="142" spans="1:31" s="4" customFormat="1" x14ac:dyDescent="0.25">
      <c r="B142" s="288" t="s">
        <v>53</v>
      </c>
      <c r="C142" s="306">
        <v>33780</v>
      </c>
      <c r="D142" s="306">
        <v>51310</v>
      </c>
      <c r="E142" s="306">
        <v>65021</v>
      </c>
      <c r="F142" s="306">
        <v>80309</v>
      </c>
      <c r="G142" s="312">
        <f t="shared" si="12"/>
        <v>0.23512403684963323</v>
      </c>
      <c r="H142" s="320">
        <f t="shared" si="13"/>
        <v>15288</v>
      </c>
      <c r="I142" s="314">
        <f t="shared" si="14"/>
        <v>0.1311214443620832</v>
      </c>
      <c r="J142" s="306">
        <v>80773</v>
      </c>
      <c r="K142" s="314">
        <f t="shared" si="14"/>
        <v>0.80867495371594811</v>
      </c>
      <c r="L142" s="314">
        <f t="shared" si="15"/>
        <v>5.7776836967213807E-3</v>
      </c>
      <c r="M142" s="313">
        <f t="shared" si="16"/>
        <v>464</v>
      </c>
      <c r="N142" s="312">
        <f t="shared" si="17"/>
        <v>1.3911486086441682</v>
      </c>
      <c r="O142" s="306">
        <f t="shared" si="18"/>
        <v>46993</v>
      </c>
      <c r="Q142" s="37"/>
      <c r="R142" s="103"/>
      <c r="Z142" s="1"/>
    </row>
    <row r="143" spans="1:31" s="4" customFormat="1" x14ac:dyDescent="0.25">
      <c r="B143" s="288" t="s">
        <v>51</v>
      </c>
      <c r="C143" s="306">
        <v>7339</v>
      </c>
      <c r="D143" s="306">
        <v>10731</v>
      </c>
      <c r="E143" s="306">
        <v>17520</v>
      </c>
      <c r="F143" s="306">
        <v>25698</v>
      </c>
      <c r="G143" s="312">
        <f t="shared" si="12"/>
        <v>0.46678082191780823</v>
      </c>
      <c r="H143" s="321">
        <f t="shared" si="13"/>
        <v>8178</v>
      </c>
      <c r="I143" s="318">
        <f t="shared" si="14"/>
        <v>4.1957425409565728E-2</v>
      </c>
      <c r="J143" s="306">
        <v>23944</v>
      </c>
      <c r="K143" s="318">
        <f t="shared" si="14"/>
        <v>0.43258397249404917</v>
      </c>
      <c r="L143" s="314">
        <f t="shared" si="15"/>
        <v>-6.8254338859055186E-2</v>
      </c>
      <c r="M143" s="313">
        <f t="shared" si="16"/>
        <v>-1754</v>
      </c>
      <c r="N143" s="312">
        <f t="shared" si="17"/>
        <v>2.2625698324022347</v>
      </c>
      <c r="O143" s="306">
        <f t="shared" si="18"/>
        <v>16605</v>
      </c>
      <c r="Q143" s="37"/>
      <c r="R143" s="103"/>
      <c r="Z143" s="1"/>
    </row>
    <row r="144" spans="1:31" s="4" customFormat="1" x14ac:dyDescent="0.25">
      <c r="B144" s="288" t="s">
        <v>54</v>
      </c>
      <c r="C144" s="306">
        <v>6781</v>
      </c>
      <c r="D144" s="306">
        <v>11021</v>
      </c>
      <c r="E144" s="306">
        <v>9118</v>
      </c>
      <c r="F144" s="306">
        <v>11280</v>
      </c>
      <c r="G144" s="312">
        <f t="shared" si="12"/>
        <v>0.23711340206185572</v>
      </c>
      <c r="H144" s="320">
        <f t="shared" si="13"/>
        <v>2162</v>
      </c>
      <c r="I144" s="314">
        <f t="shared" si="14"/>
        <v>1.8416988038754044E-2</v>
      </c>
      <c r="J144" s="306">
        <v>10812</v>
      </c>
      <c r="K144" s="314">
        <f t="shared" si="14"/>
        <v>0.1143612800846337</v>
      </c>
      <c r="L144" s="314">
        <f t="shared" si="15"/>
        <v>-4.1489361702127692E-2</v>
      </c>
      <c r="M144" s="313">
        <f t="shared" si="16"/>
        <v>-468</v>
      </c>
      <c r="N144" s="312">
        <f t="shared" si="17"/>
        <v>0.59445509511871397</v>
      </c>
      <c r="O144" s="306">
        <f t="shared" si="18"/>
        <v>4031</v>
      </c>
      <c r="Q144" s="37"/>
      <c r="R144" s="103"/>
      <c r="Z144" s="1"/>
    </row>
    <row r="145" spans="2:31" s="4" customFormat="1" x14ac:dyDescent="0.25">
      <c r="B145" s="288" t="s">
        <v>49</v>
      </c>
      <c r="C145" s="306">
        <v>15343</v>
      </c>
      <c r="D145" s="306">
        <v>4744</v>
      </c>
      <c r="E145" s="306">
        <v>9037</v>
      </c>
      <c r="F145" s="306">
        <v>15069</v>
      </c>
      <c r="G145" s="312">
        <f t="shared" si="12"/>
        <v>0.66747814540223516</v>
      </c>
      <c r="H145" s="321">
        <f t="shared" si="13"/>
        <v>6032</v>
      </c>
      <c r="I145" s="318">
        <f t="shared" si="14"/>
        <v>2.4603332691133396E-2</v>
      </c>
      <c r="J145" s="306">
        <v>23750</v>
      </c>
      <c r="K145" s="318">
        <f t="shared" si="14"/>
        <v>0.31906902935731291</v>
      </c>
      <c r="L145" s="314">
        <f t="shared" si="15"/>
        <v>0.57608334992368437</v>
      </c>
      <c r="M145" s="313">
        <f t="shared" si="16"/>
        <v>8681</v>
      </c>
      <c r="N145" s="312">
        <f t="shared" si="17"/>
        <v>0.54793717004497156</v>
      </c>
      <c r="O145" s="306">
        <f t="shared" si="18"/>
        <v>8407</v>
      </c>
      <c r="Q145" s="37"/>
      <c r="R145" s="103"/>
      <c r="Z145" s="1"/>
    </row>
    <row r="146" spans="2:31" s="4" customFormat="1" x14ac:dyDescent="0.25">
      <c r="B146" s="288" t="s">
        <v>207</v>
      </c>
      <c r="C146" s="306">
        <f>C136-SUM(C137:C145)</f>
        <v>7567</v>
      </c>
      <c r="D146" s="306">
        <f>D136-SUM(D137:D145)</f>
        <v>8026</v>
      </c>
      <c r="E146" s="306">
        <f>E136-SUM(E137:E145)</f>
        <v>16153</v>
      </c>
      <c r="F146" s="306">
        <f>F136-SUM(F137:F145)</f>
        <v>15497</v>
      </c>
      <c r="G146" s="312">
        <f t="shared" si="12"/>
        <v>-4.0611651086485456E-2</v>
      </c>
      <c r="H146" s="320">
        <f t="shared" si="13"/>
        <v>-656</v>
      </c>
      <c r="I146" s="314">
        <f t="shared" si="14"/>
        <v>2.5302133301114488E-2</v>
      </c>
      <c r="J146" s="306">
        <f>J136-SUM(J137:J145)</f>
        <v>18134</v>
      </c>
      <c r="K146" s="314">
        <f t="shared" si="14"/>
        <v>-3.4699814863792644E-2</v>
      </c>
      <c r="L146" s="314">
        <f t="shared" si="15"/>
        <v>0.17016196683229001</v>
      </c>
      <c r="M146" s="313">
        <f t="shared" si="16"/>
        <v>2637</v>
      </c>
      <c r="N146" s="312">
        <f>J146/C146-1</f>
        <v>1.3964583058015068</v>
      </c>
      <c r="O146" s="306">
        <f t="shared" si="18"/>
        <v>10567</v>
      </c>
      <c r="Q146" s="37"/>
      <c r="R146" s="103"/>
      <c r="Z146" s="1"/>
    </row>
    <row r="147" spans="2:31" s="4" customFormat="1" ht="7.5" customHeight="1" x14ac:dyDescent="0.25">
      <c r="B147" s="289"/>
      <c r="C147" s="289"/>
      <c r="D147" s="289"/>
      <c r="E147" s="289"/>
      <c r="F147" s="289"/>
      <c r="G147" s="289"/>
      <c r="H147" s="289"/>
      <c r="I147" s="289"/>
      <c r="J147" s="289"/>
      <c r="K147" s="289"/>
      <c r="L147" s="289"/>
      <c r="M147" s="289"/>
      <c r="N147" s="289"/>
      <c r="O147" s="289"/>
      <c r="Z147" s="1" t="s">
        <v>186</v>
      </c>
    </row>
    <row r="148" spans="2:31" s="4" customFormat="1" x14ac:dyDescent="0.25">
      <c r="B148" s="202" t="s">
        <v>187</v>
      </c>
      <c r="C148" s="202"/>
      <c r="D148" s="202"/>
      <c r="E148" s="202"/>
      <c r="F148" s="202"/>
      <c r="G148" s="202"/>
      <c r="H148" s="202"/>
      <c r="I148" s="202"/>
      <c r="J148" s="202"/>
      <c r="K148" s="202"/>
      <c r="L148" s="202"/>
      <c r="M148" s="202"/>
      <c r="N148" s="202"/>
      <c r="O148" s="202"/>
      <c r="Z148" s="1" t="s">
        <v>188</v>
      </c>
    </row>
    <row r="149" spans="2:31" x14ac:dyDescent="0.25">
      <c r="Z149" s="1"/>
      <c r="AE149"/>
    </row>
  </sheetData>
  <mergeCells count="2">
    <mergeCell ref="B42:S42"/>
    <mergeCell ref="B52:S5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0E9F3-90B3-4F3A-8F3D-8E8706443A46}">
  <sheetPr>
    <tabColor theme="4" tint="0.39997558519241921"/>
  </sheetPr>
  <dimension ref="A1:AE149"/>
  <sheetViews>
    <sheetView showGridLines="0" zoomScaleNormal="100" workbookViewId="0">
      <selection activeCell="G10" sqref="G10"/>
    </sheetView>
  </sheetViews>
  <sheetFormatPr baseColWidth="10" defaultRowHeight="15" x14ac:dyDescent="0.25"/>
  <cols>
    <col min="1" max="1" width="17.7109375" customWidth="1"/>
    <col min="2" max="2" width="33.5703125" customWidth="1"/>
    <col min="3" max="13" width="14.7109375" customWidth="1"/>
    <col min="14" max="14" width="11.42578125" customWidth="1"/>
    <col min="15" max="15" width="14.7109375" customWidth="1"/>
    <col min="27" max="27" width="14" customWidth="1"/>
    <col min="31" max="31" width="11.42578125" style="1"/>
  </cols>
  <sheetData>
    <row r="1" spans="1:31" ht="30" customHeight="1" x14ac:dyDescent="0.25">
      <c r="B1" s="1" t="s">
        <v>209</v>
      </c>
      <c r="G1" s="276"/>
      <c r="H1" s="276"/>
      <c r="I1" s="276"/>
      <c r="K1" s="276"/>
    </row>
    <row r="3" spans="1:31" s="4" customFormat="1" ht="25.5" customHeight="1" thickBot="1" x14ac:dyDescent="0.3">
      <c r="B3" s="85" t="s">
        <v>31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AE3" s="1"/>
    </row>
    <row r="4" spans="1:31" s="4" customFormat="1" ht="6" customHeight="1" x14ac:dyDescent="0.25">
      <c r="AE4" s="1"/>
    </row>
    <row r="5" spans="1:31" s="4" customFormat="1" ht="45" x14ac:dyDescent="0.25">
      <c r="C5" s="295" t="s">
        <v>265</v>
      </c>
      <c r="D5" s="295" t="s">
        <v>266</v>
      </c>
      <c r="E5" s="295" t="s">
        <v>267</v>
      </c>
      <c r="F5" s="296" t="str">
        <f>CONCATENATE("%/s total Tenerife ",RIGHT(E5,4))</f>
        <v>%/s total Tenerife 2022</v>
      </c>
      <c r="G5" s="295" t="s">
        <v>268</v>
      </c>
      <c r="H5" s="296" t="str">
        <f>CONCATENATE("var. ",RIGHT(G5,2),"/",RIGHT(E5,2))</f>
        <v>var. 23/22</v>
      </c>
      <c r="I5" s="296" t="str">
        <f>CONCATENATE("dif. ",RIGHT(G5,2),"/",RIGHT(E5,2))</f>
        <v>dif. 23/22</v>
      </c>
      <c r="J5" s="296" t="str">
        <f>CONCATENATE("%/s total Tenerife ",RIGHT(G5,4))</f>
        <v>%/s total Tenerife 2023</v>
      </c>
      <c r="K5" s="295" t="s">
        <v>269</v>
      </c>
      <c r="L5" s="296" t="str">
        <f>CONCATENATE("var. ",RIGHT(K5,2),"/",RIGHT(G5,2))</f>
        <v>var. 24/23</v>
      </c>
      <c r="M5" s="296" t="str">
        <f>CONCATENATE("dif. ",RIGHT(K5,2),"/",RIGHT(G5,2))</f>
        <v>dif. 24/23</v>
      </c>
      <c r="N5" s="296" t="str">
        <f>CONCATENATE("%/s total Tenerife ",RIGHT(K5,4))</f>
        <v>%/s total Tenerife 2024</v>
      </c>
      <c r="O5" s="295" t="s">
        <v>270</v>
      </c>
      <c r="P5" s="296" t="str">
        <f>CONCATENATE("var. ",RIGHT(O5,2),"/",RIGHT(K5,2))</f>
        <v>var. 25/24</v>
      </c>
      <c r="Q5" s="296" t="str">
        <f>CONCATENATE("dif. ",RIGHT(O5,2),"/",RIGHT(K5,2))</f>
        <v>dif. 25/24</v>
      </c>
      <c r="R5" s="296" t="str">
        <f>CONCATENATE("var. ",RIGHT(O5,2),"/",RIGHT(C5,2))</f>
        <v>var. 25/20</v>
      </c>
      <c r="S5" s="296" t="str">
        <f>CONCATENATE("dif. ",RIGHT(O5,2),"/",RIGHT(C5,2))</f>
        <v>dif. 25/20</v>
      </c>
      <c r="T5" s="296" t="str">
        <f>CONCATENATE("%/s total Tenerife ",RIGHT(O5,4))</f>
        <v>%/s total Tenerife 2025</v>
      </c>
      <c r="AE5" s="1"/>
    </row>
    <row r="6" spans="1:31" ht="18.75" x14ac:dyDescent="0.3">
      <c r="A6" s="4"/>
      <c r="B6" s="277" t="s">
        <v>206</v>
      </c>
      <c r="C6" s="297">
        <v>151426</v>
      </c>
      <c r="D6" s="297">
        <v>325238</v>
      </c>
      <c r="E6" s="297">
        <v>341997</v>
      </c>
      <c r="F6" s="298">
        <f>E6/$E$6</f>
        <v>1</v>
      </c>
      <c r="G6" s="297">
        <v>348792</v>
      </c>
      <c r="H6" s="298">
        <f>G6/E6-1</f>
        <v>1.9868595338555561E-2</v>
      </c>
      <c r="I6" s="297">
        <f>G6-E6</f>
        <v>6795</v>
      </c>
      <c r="J6" s="298">
        <f>G6/$G$6</f>
        <v>1</v>
      </c>
      <c r="K6" s="297">
        <v>338193</v>
      </c>
      <c r="L6" s="298">
        <f>K6/G6-1</f>
        <v>-3.0387738250877261E-2</v>
      </c>
      <c r="M6" s="297">
        <f>K6-G6</f>
        <v>-10599</v>
      </c>
      <c r="N6" s="298">
        <f>K6/$K$6</f>
        <v>1</v>
      </c>
      <c r="O6" s="297">
        <v>332797</v>
      </c>
      <c r="P6" s="298">
        <f>O6/K6-1</f>
        <v>-1.595538642136296E-2</v>
      </c>
      <c r="Q6" s="297">
        <f>O6-K6</f>
        <v>-5396</v>
      </c>
      <c r="R6" s="298">
        <f>IFERROR(O6/C6-1,"-")</f>
        <v>1.1977533580758917</v>
      </c>
      <c r="S6" s="297">
        <f>O6-C6</f>
        <v>181371</v>
      </c>
      <c r="T6" s="298">
        <f>O6/$O$6</f>
        <v>1</v>
      </c>
      <c r="V6" s="37"/>
      <c r="W6" s="103"/>
      <c r="AE6" s="1" t="s">
        <v>179</v>
      </c>
    </row>
    <row r="7" spans="1:31" s="4" customFormat="1" x14ac:dyDescent="0.25">
      <c r="B7" s="288" t="s">
        <v>46</v>
      </c>
      <c r="C7" s="306">
        <v>42842</v>
      </c>
      <c r="D7" s="306">
        <v>110132</v>
      </c>
      <c r="E7" s="306">
        <v>74040</v>
      </c>
      <c r="F7" s="312">
        <f t="shared" ref="F7:F16" si="0">E7/$E$6</f>
        <v>0.21649312713269414</v>
      </c>
      <c r="G7" s="306">
        <v>63391</v>
      </c>
      <c r="H7" s="314">
        <f>G7/E7-1</f>
        <v>-0.14382766072393305</v>
      </c>
      <c r="I7" s="313">
        <f>G7-E7</f>
        <v>-10649</v>
      </c>
      <c r="J7" s="312">
        <f>G7/$G$6</f>
        <v>0.18174442074359504</v>
      </c>
      <c r="K7" s="306">
        <v>50766</v>
      </c>
      <c r="L7" s="314">
        <f>K7/G7-1</f>
        <v>-0.19916076414632988</v>
      </c>
      <c r="M7" s="313">
        <f>K7-G7</f>
        <v>-12625</v>
      </c>
      <c r="N7" s="312">
        <f>K7/$K$6</f>
        <v>0.15010955282930161</v>
      </c>
      <c r="O7" s="306">
        <v>56352</v>
      </c>
      <c r="P7" s="314">
        <f>O7/K7-1</f>
        <v>0.11003427490840334</v>
      </c>
      <c r="Q7" s="313">
        <f>O7-K7</f>
        <v>5586</v>
      </c>
      <c r="R7" s="314">
        <f t="shared" ref="R7:R16" si="1">IFERROR(O7/C7-1,"-")</f>
        <v>0.31534475514681848</v>
      </c>
      <c r="S7" s="313">
        <f t="shared" ref="S7:S16" si="2">O7-C7</f>
        <v>13510</v>
      </c>
      <c r="T7" s="312">
        <f>O7/$O$6</f>
        <v>0.16932844947520562</v>
      </c>
      <c r="V7" s="37"/>
      <c r="W7" s="103"/>
      <c r="AE7" s="1" t="s">
        <v>181</v>
      </c>
    </row>
    <row r="8" spans="1:31" s="4" customFormat="1" x14ac:dyDescent="0.25">
      <c r="B8" s="288" t="s">
        <v>47</v>
      </c>
      <c r="C8" s="306">
        <v>16143</v>
      </c>
      <c r="D8" s="306">
        <v>35855</v>
      </c>
      <c r="E8" s="306">
        <v>41441</v>
      </c>
      <c r="F8" s="312">
        <f t="shared" si="0"/>
        <v>0.12117357754600186</v>
      </c>
      <c r="G8" s="306">
        <v>42012</v>
      </c>
      <c r="H8" s="314">
        <f t="shared" ref="H8:H16" si="3">G8/E8-1</f>
        <v>1.3778625033179726E-2</v>
      </c>
      <c r="I8" s="313">
        <f t="shared" ref="I8:I16" si="4">G8-E8</f>
        <v>571</v>
      </c>
      <c r="J8" s="312">
        <f t="shared" ref="J8:J16" si="5">G8/$G$6</f>
        <v>0.12045001032133765</v>
      </c>
      <c r="K8" s="306">
        <v>41448</v>
      </c>
      <c r="L8" s="314">
        <f t="shared" ref="L8:L16" si="6">K8/G8-1</f>
        <v>-1.3424735789774322E-2</v>
      </c>
      <c r="M8" s="313">
        <f t="shared" ref="M8:M16" si="7">K8-G8</f>
        <v>-564</v>
      </c>
      <c r="N8" s="312">
        <f t="shared" ref="N8:N16" si="8">K8/$K$6</f>
        <v>0.12255723802680718</v>
      </c>
      <c r="O8" s="306">
        <v>41263</v>
      </c>
      <c r="P8" s="314">
        <f t="shared" ref="P8:P16" si="9">O8/K8-1</f>
        <v>-4.4634240494113575E-3</v>
      </c>
      <c r="Q8" s="313">
        <f t="shared" ref="Q8:Q16" si="10">O8-K8</f>
        <v>-185</v>
      </c>
      <c r="R8" s="314">
        <f t="shared" si="1"/>
        <v>1.55609242396085</v>
      </c>
      <c r="S8" s="313">
        <f t="shared" si="2"/>
        <v>25120</v>
      </c>
      <c r="T8" s="312">
        <f t="shared" ref="T8:T16" si="11">O8/$O$6</f>
        <v>0.12398849749246538</v>
      </c>
      <c r="V8" s="37"/>
      <c r="W8" s="103"/>
      <c r="AE8" s="1"/>
    </row>
    <row r="9" spans="1:31" s="4" customFormat="1" x14ac:dyDescent="0.25">
      <c r="B9" s="288" t="s">
        <v>48</v>
      </c>
      <c r="C9" s="306">
        <v>1503</v>
      </c>
      <c r="D9" s="306">
        <v>1994</v>
      </c>
      <c r="E9" s="306">
        <v>2187</v>
      </c>
      <c r="F9" s="307">
        <f t="shared" si="0"/>
        <v>6.3947929367801472E-3</v>
      </c>
      <c r="G9" s="306">
        <v>12282</v>
      </c>
      <c r="H9" s="318">
        <f t="shared" si="3"/>
        <v>4.6159122085048008</v>
      </c>
      <c r="I9" s="309">
        <f t="shared" si="4"/>
        <v>10095</v>
      </c>
      <c r="J9" s="307">
        <f t="shared" si="5"/>
        <v>3.5212963600082574E-2</v>
      </c>
      <c r="K9" s="306">
        <v>5931</v>
      </c>
      <c r="L9" s="314">
        <f t="shared" si="6"/>
        <v>-0.51709819247679534</v>
      </c>
      <c r="M9" s="313">
        <f t="shared" si="7"/>
        <v>-6351</v>
      </c>
      <c r="N9" s="312">
        <f t="shared" si="8"/>
        <v>1.7537323362695267E-2</v>
      </c>
      <c r="O9" s="306">
        <v>4155</v>
      </c>
      <c r="P9" s="314">
        <f t="shared" si="9"/>
        <v>-0.29944360141628734</v>
      </c>
      <c r="Q9" s="313">
        <f t="shared" si="10"/>
        <v>-1776</v>
      </c>
      <c r="R9" s="314">
        <f t="shared" si="1"/>
        <v>1.7644710578842315</v>
      </c>
      <c r="S9" s="313">
        <f t="shared" si="2"/>
        <v>2652</v>
      </c>
      <c r="T9" s="312">
        <f t="shared" si="11"/>
        <v>1.2485088507408421E-2</v>
      </c>
      <c r="V9" s="37"/>
      <c r="W9" s="103"/>
      <c r="AE9" s="1"/>
    </row>
    <row r="10" spans="1:31" s="4" customFormat="1" x14ac:dyDescent="0.25">
      <c r="B10" s="288" t="s">
        <v>50</v>
      </c>
      <c r="C10" s="306">
        <v>16241</v>
      </c>
      <c r="D10" s="306">
        <v>45986</v>
      </c>
      <c r="E10" s="306">
        <v>76215</v>
      </c>
      <c r="F10" s="312">
        <f t="shared" si="0"/>
        <v>0.22285283204238635</v>
      </c>
      <c r="G10" s="306">
        <v>76079</v>
      </c>
      <c r="H10" s="314">
        <f t="shared" si="3"/>
        <v>-1.7844256379977441E-3</v>
      </c>
      <c r="I10" s="313">
        <f t="shared" si="4"/>
        <v>-136</v>
      </c>
      <c r="J10" s="312">
        <f t="shared" si="5"/>
        <v>0.21812140186701529</v>
      </c>
      <c r="K10" s="306">
        <v>86382</v>
      </c>
      <c r="L10" s="314">
        <f t="shared" si="6"/>
        <v>0.13542501873053014</v>
      </c>
      <c r="M10" s="313">
        <f t="shared" si="7"/>
        <v>10303</v>
      </c>
      <c r="N10" s="312">
        <f t="shared" si="8"/>
        <v>0.25542219974984698</v>
      </c>
      <c r="O10" s="306">
        <v>80878</v>
      </c>
      <c r="P10" s="314">
        <f t="shared" si="9"/>
        <v>-6.3716978074135788E-2</v>
      </c>
      <c r="Q10" s="313">
        <f t="shared" si="10"/>
        <v>-5504</v>
      </c>
      <c r="R10" s="314">
        <f t="shared" si="1"/>
        <v>3.9798657718120802</v>
      </c>
      <c r="S10" s="313">
        <f t="shared" si="2"/>
        <v>64637</v>
      </c>
      <c r="T10" s="312">
        <f>O10/$O$6</f>
        <v>0.24302502726887562</v>
      </c>
      <c r="V10" s="37"/>
      <c r="W10" s="103"/>
      <c r="AE10" s="1"/>
    </row>
    <row r="11" spans="1:31" s="4" customFormat="1" x14ac:dyDescent="0.25">
      <c r="B11" s="288" t="s">
        <v>52</v>
      </c>
      <c r="C11" s="306">
        <v>2058</v>
      </c>
      <c r="D11" s="306">
        <v>21947</v>
      </c>
      <c r="E11" s="306">
        <v>13592</v>
      </c>
      <c r="F11" s="307">
        <f t="shared" si="0"/>
        <v>3.9743038681625861E-2</v>
      </c>
      <c r="G11" s="306">
        <v>16768</v>
      </c>
      <c r="H11" s="318">
        <f t="shared" si="3"/>
        <v>0.23366686286050609</v>
      </c>
      <c r="I11" s="309">
        <f t="shared" si="4"/>
        <v>3176</v>
      </c>
      <c r="J11" s="307">
        <f t="shared" si="5"/>
        <v>4.8074497121493615E-2</v>
      </c>
      <c r="K11" s="306">
        <v>13342</v>
      </c>
      <c r="L11" s="314">
        <f t="shared" si="6"/>
        <v>-0.20431774809160308</v>
      </c>
      <c r="M11" s="313">
        <f t="shared" si="7"/>
        <v>-3426</v>
      </c>
      <c r="N11" s="312">
        <f t="shared" si="8"/>
        <v>3.945084611449675E-2</v>
      </c>
      <c r="O11" s="306">
        <v>16373</v>
      </c>
      <c r="P11" s="314">
        <f t="shared" si="9"/>
        <v>0.22717733473242396</v>
      </c>
      <c r="Q11" s="313">
        <f t="shared" si="10"/>
        <v>3031</v>
      </c>
      <c r="R11" s="314">
        <f t="shared" si="1"/>
        <v>6.9557823129251704</v>
      </c>
      <c r="S11" s="313">
        <f t="shared" si="2"/>
        <v>14315</v>
      </c>
      <c r="T11" s="312">
        <f t="shared" si="11"/>
        <v>4.9198159839181244E-2</v>
      </c>
      <c r="V11" s="37"/>
      <c r="W11" s="103"/>
      <c r="AE11" s="1"/>
    </row>
    <row r="12" spans="1:31" s="4" customFormat="1" x14ac:dyDescent="0.25">
      <c r="B12" s="288" t="s">
        <v>53</v>
      </c>
      <c r="C12" s="306">
        <v>16691</v>
      </c>
      <c r="D12" s="306">
        <v>34948</v>
      </c>
      <c r="E12" s="306">
        <v>50706</v>
      </c>
      <c r="F12" s="312">
        <f t="shared" si="0"/>
        <v>0.14826445846016192</v>
      </c>
      <c r="G12" s="306">
        <v>48815</v>
      </c>
      <c r="H12" s="314">
        <f t="shared" si="3"/>
        <v>-3.7293416952628888E-2</v>
      </c>
      <c r="I12" s="313">
        <f t="shared" si="4"/>
        <v>-1891</v>
      </c>
      <c r="J12" s="312">
        <f t="shared" si="5"/>
        <v>0.13995447143283102</v>
      </c>
      <c r="K12" s="306">
        <v>57435</v>
      </c>
      <c r="L12" s="314">
        <f t="shared" si="6"/>
        <v>0.17658506606575841</v>
      </c>
      <c r="M12" s="313">
        <f t="shared" si="7"/>
        <v>8620</v>
      </c>
      <c r="N12" s="312">
        <f t="shared" si="8"/>
        <v>0.16982906210359175</v>
      </c>
      <c r="O12" s="306">
        <v>70232</v>
      </c>
      <c r="P12" s="314">
        <f t="shared" si="9"/>
        <v>0.22280839209541226</v>
      </c>
      <c r="Q12" s="313">
        <f t="shared" si="10"/>
        <v>12797</v>
      </c>
      <c r="R12" s="314">
        <f t="shared" si="1"/>
        <v>3.2077766460966988</v>
      </c>
      <c r="S12" s="313">
        <f t="shared" si="2"/>
        <v>53541</v>
      </c>
      <c r="T12" s="312">
        <f t="shared" si="11"/>
        <v>0.2110355562099418</v>
      </c>
      <c r="V12" s="37"/>
      <c r="W12" s="103"/>
      <c r="AE12" s="1"/>
    </row>
    <row r="13" spans="1:31" s="4" customFormat="1" x14ac:dyDescent="0.25">
      <c r="B13" s="288" t="s">
        <v>51</v>
      </c>
      <c r="C13" s="306">
        <v>5930</v>
      </c>
      <c r="D13" s="306">
        <v>7014</v>
      </c>
      <c r="E13" s="306">
        <v>11891</v>
      </c>
      <c r="F13" s="307">
        <f t="shared" si="0"/>
        <v>3.4769310841907972E-2</v>
      </c>
      <c r="G13" s="306">
        <v>9535</v>
      </c>
      <c r="H13" s="318">
        <f t="shared" si="3"/>
        <v>-0.19813304179631652</v>
      </c>
      <c r="I13" s="309">
        <f t="shared" si="4"/>
        <v>-2356</v>
      </c>
      <c r="J13" s="307">
        <f t="shared" si="5"/>
        <v>2.7337209569026813E-2</v>
      </c>
      <c r="K13" s="306">
        <v>8202</v>
      </c>
      <c r="L13" s="314">
        <f t="shared" si="6"/>
        <v>-0.13980073413738858</v>
      </c>
      <c r="M13" s="313">
        <f t="shared" si="7"/>
        <v>-1333</v>
      </c>
      <c r="N13" s="312">
        <f t="shared" si="8"/>
        <v>2.4252423911790014E-2</v>
      </c>
      <c r="O13" s="306">
        <v>8889</v>
      </c>
      <c r="P13" s="314">
        <f t="shared" si="9"/>
        <v>8.376005852231172E-2</v>
      </c>
      <c r="Q13" s="313">
        <f t="shared" si="10"/>
        <v>687</v>
      </c>
      <c r="R13" s="314">
        <f t="shared" si="1"/>
        <v>0.49898819561551444</v>
      </c>
      <c r="S13" s="313">
        <f t="shared" si="2"/>
        <v>2959</v>
      </c>
      <c r="T13" s="312">
        <f t="shared" si="11"/>
        <v>2.6709976351950288E-2</v>
      </c>
      <c r="V13" s="37"/>
      <c r="W13" s="103"/>
      <c r="AE13" s="1"/>
    </row>
    <row r="14" spans="1:31" s="4" customFormat="1" x14ac:dyDescent="0.25">
      <c r="B14" s="288" t="s">
        <v>54</v>
      </c>
      <c r="C14" s="306">
        <v>10065</v>
      </c>
      <c r="D14" s="306">
        <v>28597</v>
      </c>
      <c r="E14" s="306">
        <v>17244</v>
      </c>
      <c r="F14" s="312">
        <f t="shared" si="0"/>
        <v>5.0421494925394085E-2</v>
      </c>
      <c r="G14" s="306">
        <v>17464</v>
      </c>
      <c r="H14" s="314">
        <f t="shared" si="3"/>
        <v>1.2758060774762159E-2</v>
      </c>
      <c r="I14" s="313">
        <f t="shared" si="4"/>
        <v>220</v>
      </c>
      <c r="J14" s="312">
        <f t="shared" si="5"/>
        <v>5.0069955732929654E-2</v>
      </c>
      <c r="K14" s="306">
        <v>15005</v>
      </c>
      <c r="L14" s="314">
        <f t="shared" si="6"/>
        <v>-0.14080393953275305</v>
      </c>
      <c r="M14" s="313">
        <f t="shared" si="7"/>
        <v>-2459</v>
      </c>
      <c r="N14" s="312">
        <f t="shared" si="8"/>
        <v>4.4368156644283001E-2</v>
      </c>
      <c r="O14" s="306">
        <v>16291</v>
      </c>
      <c r="P14" s="314">
        <f t="shared" si="9"/>
        <v>8.5704765078307155E-2</v>
      </c>
      <c r="Q14" s="313">
        <f t="shared" si="10"/>
        <v>1286</v>
      </c>
      <c r="R14" s="314">
        <f t="shared" si="1"/>
        <v>0.61857923497267753</v>
      </c>
      <c r="S14" s="313">
        <f t="shared" si="2"/>
        <v>6226</v>
      </c>
      <c r="T14" s="312">
        <f t="shared" si="11"/>
        <v>4.8951763387290147E-2</v>
      </c>
      <c r="V14" s="37"/>
      <c r="W14" s="103"/>
      <c r="AE14" s="1"/>
    </row>
    <row r="15" spans="1:31" s="4" customFormat="1" x14ac:dyDescent="0.25">
      <c r="B15" s="288" t="s">
        <v>49</v>
      </c>
      <c r="C15" s="306">
        <v>6072</v>
      </c>
      <c r="D15" s="306">
        <v>16748</v>
      </c>
      <c r="E15" s="306">
        <v>22757</v>
      </c>
      <c r="F15" s="307">
        <f t="shared" si="0"/>
        <v>6.6541519370052954E-2</v>
      </c>
      <c r="G15" s="306">
        <v>28471</v>
      </c>
      <c r="H15" s="318">
        <f t="shared" si="3"/>
        <v>0.25108757744869714</v>
      </c>
      <c r="I15" s="309">
        <f t="shared" si="4"/>
        <v>5714</v>
      </c>
      <c r="J15" s="307">
        <f t="shared" si="5"/>
        <v>8.1627445583614303E-2</v>
      </c>
      <c r="K15" s="306">
        <v>30835</v>
      </c>
      <c r="L15" s="314">
        <f t="shared" si="6"/>
        <v>8.303185697727522E-2</v>
      </c>
      <c r="M15" s="313">
        <f t="shared" si="7"/>
        <v>2364</v>
      </c>
      <c r="N15" s="312">
        <f t="shared" si="8"/>
        <v>9.1175748758844807E-2</v>
      </c>
      <c r="O15" s="306">
        <v>12390</v>
      </c>
      <c r="P15" s="314">
        <f t="shared" si="9"/>
        <v>-0.59818388195232686</v>
      </c>
      <c r="Q15" s="313">
        <f t="shared" si="10"/>
        <v>-18445</v>
      </c>
      <c r="R15" s="314">
        <f t="shared" si="1"/>
        <v>1.0405138339920947</v>
      </c>
      <c r="S15" s="313">
        <f t="shared" si="2"/>
        <v>6318</v>
      </c>
      <c r="T15" s="312">
        <f t="shared" si="11"/>
        <v>3.7229902913788283E-2</v>
      </c>
      <c r="V15" s="37"/>
      <c r="W15" s="103"/>
      <c r="AE15" s="1"/>
    </row>
    <row r="16" spans="1:31" s="4" customFormat="1" x14ac:dyDescent="0.25">
      <c r="B16" s="288" t="s">
        <v>207</v>
      </c>
      <c r="C16" s="306">
        <f>C6-SUM(C7:C15)</f>
        <v>33881</v>
      </c>
      <c r="D16" s="306">
        <f>D6-SUM(D7:D15)</f>
        <v>22017</v>
      </c>
      <c r="E16" s="306">
        <f>E6-SUM(E7:E15)</f>
        <v>31924</v>
      </c>
      <c r="F16" s="312">
        <f t="shared" si="0"/>
        <v>9.3345848062994702E-2</v>
      </c>
      <c r="G16" s="306">
        <f>G6-SUM(G7:G15)</f>
        <v>33975</v>
      </c>
      <c r="H16" s="314">
        <f t="shared" si="3"/>
        <v>6.4246335045733627E-2</v>
      </c>
      <c r="I16" s="313">
        <f t="shared" si="4"/>
        <v>2051</v>
      </c>
      <c r="J16" s="312">
        <f t="shared" si="5"/>
        <v>9.7407624028074041E-2</v>
      </c>
      <c r="K16" s="306">
        <f>K6-SUM(K7:K15)</f>
        <v>28847</v>
      </c>
      <c r="L16" s="314">
        <f t="shared" si="6"/>
        <v>-0.15093451066961006</v>
      </c>
      <c r="M16" s="313">
        <f t="shared" si="7"/>
        <v>-5128</v>
      </c>
      <c r="N16" s="312">
        <f t="shared" si="8"/>
        <v>8.5297448498342657E-2</v>
      </c>
      <c r="O16" s="306">
        <f>O6-SUM(O7:O15)</f>
        <v>25974</v>
      </c>
      <c r="P16" s="314">
        <f t="shared" si="9"/>
        <v>-9.9594411897251045E-2</v>
      </c>
      <c r="Q16" s="313">
        <f t="shared" si="10"/>
        <v>-2873</v>
      </c>
      <c r="R16" s="314">
        <f t="shared" si="1"/>
        <v>-0.23337563826333341</v>
      </c>
      <c r="S16" s="313">
        <f t="shared" si="2"/>
        <v>-7907</v>
      </c>
      <c r="T16" s="312">
        <f t="shared" si="11"/>
        <v>7.8047578553893215E-2</v>
      </c>
      <c r="V16" s="37"/>
      <c r="W16" s="103"/>
      <c r="AE16" s="1"/>
    </row>
    <row r="17" spans="2:31" s="4" customFormat="1" ht="7.5" customHeight="1" x14ac:dyDescent="0.25">
      <c r="B17" s="289"/>
      <c r="C17" s="289"/>
      <c r="D17" s="289"/>
      <c r="E17" s="289"/>
      <c r="F17" s="289"/>
      <c r="G17" s="289"/>
      <c r="H17" s="289"/>
      <c r="I17" s="289"/>
      <c r="J17" s="289"/>
      <c r="K17" s="289"/>
      <c r="L17" s="289"/>
      <c r="M17" s="289"/>
      <c r="N17" s="289"/>
      <c r="O17" s="289"/>
      <c r="P17" s="289"/>
      <c r="Q17" s="289"/>
      <c r="R17" s="289"/>
      <c r="S17" s="289"/>
      <c r="T17" s="289"/>
      <c r="AE17" s="1" t="s">
        <v>186</v>
      </c>
    </row>
    <row r="18" spans="2:31" s="4" customFormat="1" x14ac:dyDescent="0.25">
      <c r="B18" s="202" t="s">
        <v>187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AE18" s="1" t="s">
        <v>188</v>
      </c>
    </row>
    <row r="19" spans="2:31" s="4" customFormat="1" x14ac:dyDescent="0.25">
      <c r="AE19" s="1"/>
    </row>
    <row r="42" spans="2:31" s="4" customFormat="1" ht="15.75" hidden="1" customHeight="1" thickBot="1" x14ac:dyDescent="0.3">
      <c r="B42" s="12" t="s">
        <v>189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07"/>
      <c r="AE42" s="1"/>
    </row>
    <row r="43" spans="2:31" s="4" customFormat="1" ht="6" hidden="1" customHeight="1" thickBot="1" x14ac:dyDescent="0.3">
      <c r="AE43" s="1"/>
    </row>
    <row r="44" spans="2:31" s="4" customFormat="1" ht="30" hidden="1" x14ac:dyDescent="0.25">
      <c r="C44" s="112"/>
      <c r="D44" s="112"/>
      <c r="E44" s="112"/>
      <c r="F44" s="112"/>
      <c r="G44" s="112"/>
      <c r="H44" s="112"/>
      <c r="I44" s="112"/>
      <c r="J44" s="112"/>
      <c r="K44" s="15">
        <v>2020</v>
      </c>
      <c r="L44" s="15"/>
      <c r="M44" s="15"/>
      <c r="N44" s="15" t="s">
        <v>190</v>
      </c>
      <c r="O44" s="15">
        <v>2021</v>
      </c>
      <c r="P44" s="15" t="s">
        <v>190</v>
      </c>
      <c r="Q44" s="15" t="s">
        <v>191</v>
      </c>
      <c r="R44" s="15" t="s">
        <v>192</v>
      </c>
      <c r="S44" s="15" t="s">
        <v>193</v>
      </c>
      <c r="T44" s="112"/>
      <c r="AE44" s="1"/>
    </row>
    <row r="45" spans="2:31" s="4" customFormat="1" ht="18.75" hidden="1" x14ac:dyDescent="0.3">
      <c r="B45" s="277" t="s">
        <v>177</v>
      </c>
      <c r="C45" s="278"/>
      <c r="D45" s="278"/>
      <c r="E45" s="278"/>
      <c r="F45" s="278"/>
      <c r="G45" s="278"/>
      <c r="H45" s="278"/>
      <c r="I45" s="278"/>
      <c r="J45" s="278"/>
      <c r="K45" s="278">
        <v>1824653</v>
      </c>
      <c r="L45" s="278"/>
      <c r="M45" s="278"/>
      <c r="N45" s="279"/>
      <c r="O45" s="278">
        <v>2354005</v>
      </c>
      <c r="P45" s="279"/>
      <c r="Q45" s="279">
        <v>1</v>
      </c>
      <c r="R45" s="279">
        <v>0.2901110512519367</v>
      </c>
      <c r="S45" s="278">
        <v>529352</v>
      </c>
      <c r="T45" s="290"/>
      <c r="AE45" s="1"/>
    </row>
    <row r="46" spans="2:31" ht="18.75" hidden="1" x14ac:dyDescent="0.3">
      <c r="B46" s="277" t="s">
        <v>178</v>
      </c>
      <c r="C46" s="278"/>
      <c r="D46" s="278"/>
      <c r="E46" s="278"/>
      <c r="F46" s="278"/>
      <c r="G46" s="278"/>
      <c r="H46" s="278"/>
      <c r="I46" s="278"/>
      <c r="J46" s="278"/>
      <c r="K46" s="278">
        <v>603938</v>
      </c>
      <c r="L46" s="278"/>
      <c r="M46" s="278"/>
      <c r="N46" s="279">
        <v>1</v>
      </c>
      <c r="O46" s="278">
        <v>936181</v>
      </c>
      <c r="P46" s="279">
        <v>1</v>
      </c>
      <c r="Q46" s="279">
        <v>0.39769711619134201</v>
      </c>
      <c r="R46" s="279">
        <v>0.55012766211101138</v>
      </c>
      <c r="S46" s="278">
        <v>332243</v>
      </c>
      <c r="T46" s="290"/>
      <c r="AE46" s="1" t="s">
        <v>179</v>
      </c>
    </row>
    <row r="47" spans="2:31" ht="15.75" hidden="1" x14ac:dyDescent="0.25">
      <c r="B47" s="280" t="s">
        <v>102</v>
      </c>
      <c r="C47" s="281"/>
      <c r="D47" s="281"/>
      <c r="E47" s="281"/>
      <c r="F47" s="281"/>
      <c r="G47" s="281"/>
      <c r="H47" s="281"/>
      <c r="I47" s="281"/>
      <c r="J47" s="281"/>
      <c r="K47" s="281">
        <v>276550.36166633503</v>
      </c>
      <c r="L47" s="281"/>
      <c r="M47" s="281"/>
      <c r="N47" s="282">
        <v>0.45791184139155844</v>
      </c>
      <c r="O47" s="281">
        <v>430252.45635520399</v>
      </c>
      <c r="P47" s="282">
        <v>0.4595825554622493</v>
      </c>
      <c r="Q47" s="282">
        <v>0.18277465695918402</v>
      </c>
      <c r="R47" s="282">
        <v>0.55578337978930015</v>
      </c>
      <c r="S47" s="281">
        <v>153702.09468886897</v>
      </c>
      <c r="T47" s="291"/>
      <c r="AE47" s="1" t="s">
        <v>180</v>
      </c>
    </row>
    <row r="48" spans="2:31" s="4" customFormat="1" hidden="1" x14ac:dyDescent="0.25">
      <c r="B48" s="283" t="s">
        <v>105</v>
      </c>
      <c r="C48" s="284"/>
      <c r="D48" s="284"/>
      <c r="E48" s="284"/>
      <c r="F48" s="284"/>
      <c r="G48" s="284"/>
      <c r="H48" s="284"/>
      <c r="I48" s="284"/>
      <c r="J48" s="284"/>
      <c r="K48" s="284">
        <v>327387.63833385095</v>
      </c>
      <c r="L48" s="284"/>
      <c r="M48" s="284"/>
      <c r="N48" s="287">
        <v>0.54208815860874948</v>
      </c>
      <c r="O48" s="284">
        <v>505927.5436448183</v>
      </c>
      <c r="P48" s="287">
        <v>0.54041637636826456</v>
      </c>
      <c r="Q48" s="287">
        <v>0.21492203442423372</v>
      </c>
      <c r="R48" s="285">
        <v>0.54534711884540576</v>
      </c>
      <c r="S48" s="286">
        <v>178539.90531096736</v>
      </c>
      <c r="T48" s="293"/>
      <c r="AE48" s="1" t="s">
        <v>181</v>
      </c>
    </row>
    <row r="49" spans="2:31" s="4" customFormat="1" hidden="1" x14ac:dyDescent="0.25">
      <c r="B49" s="288" t="s">
        <v>182</v>
      </c>
      <c r="C49" s="37"/>
      <c r="D49" s="37"/>
      <c r="E49" s="37"/>
      <c r="F49" s="37"/>
      <c r="G49" s="37"/>
      <c r="H49" s="37"/>
      <c r="I49" s="37"/>
      <c r="J49" s="37"/>
      <c r="K49" s="37">
        <v>242109.12821622068</v>
      </c>
      <c r="L49" s="37"/>
      <c r="M49" s="37"/>
      <c r="N49" s="39">
        <v>0.4008840778626625</v>
      </c>
      <c r="O49" s="37">
        <v>391384.01224089495</v>
      </c>
      <c r="P49" s="39">
        <v>0.41806446855992052</v>
      </c>
      <c r="Q49" s="39">
        <v>0.16626303352834634</v>
      </c>
      <c r="R49" s="27">
        <v>0.61656033014732592</v>
      </c>
      <c r="S49" s="25">
        <v>149274.88402467428</v>
      </c>
      <c r="T49" s="25"/>
      <c r="AE49" s="1" t="s">
        <v>183</v>
      </c>
    </row>
    <row r="50" spans="2:31" s="4" customFormat="1" hidden="1" x14ac:dyDescent="0.25">
      <c r="B50" s="288" t="s">
        <v>184</v>
      </c>
      <c r="C50" s="37"/>
      <c r="D50" s="37"/>
      <c r="E50" s="37"/>
      <c r="F50" s="37"/>
      <c r="G50" s="37"/>
      <c r="H50" s="37"/>
      <c r="I50" s="37"/>
      <c r="J50" s="37"/>
      <c r="K50" s="37">
        <v>85278.510117630256</v>
      </c>
      <c r="L50" s="37"/>
      <c r="M50" s="37"/>
      <c r="N50" s="39">
        <v>0.14120408074608695</v>
      </c>
      <c r="O50" s="37">
        <v>114543.53140392336</v>
      </c>
      <c r="P50" s="39">
        <v>0.12235190780834407</v>
      </c>
      <c r="Q50" s="39">
        <v>4.8659000895887379E-2</v>
      </c>
      <c r="R50" s="27">
        <v>0.34316994100771625</v>
      </c>
      <c r="S50" s="25">
        <v>29265.021286293108</v>
      </c>
      <c r="T50" s="25"/>
      <c r="AE50" s="1" t="s">
        <v>185</v>
      </c>
    </row>
    <row r="51" spans="2:31" s="4" customFormat="1" ht="7.5" hidden="1" customHeight="1" x14ac:dyDescent="0.25">
      <c r="B51" s="289"/>
      <c r="C51" s="289"/>
      <c r="D51" s="289"/>
      <c r="E51" s="289"/>
      <c r="F51" s="289"/>
      <c r="G51" s="289"/>
      <c r="H51" s="289"/>
      <c r="I51" s="289"/>
      <c r="J51" s="289"/>
      <c r="K51" s="289"/>
      <c r="L51" s="289"/>
      <c r="M51" s="289"/>
      <c r="N51" s="289"/>
      <c r="O51" s="289"/>
      <c r="P51" s="289"/>
      <c r="Q51" s="289"/>
      <c r="R51" s="289"/>
      <c r="S51" s="289"/>
      <c r="AE51" s="1" t="s">
        <v>186</v>
      </c>
    </row>
    <row r="52" spans="2:31" s="4" customFormat="1" hidden="1" x14ac:dyDescent="0.25">
      <c r="B52" s="66" t="s">
        <v>187</v>
      </c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294"/>
      <c r="AE52" s="1" t="s">
        <v>188</v>
      </c>
    </row>
    <row r="53" spans="2:31" s="4" customFormat="1" hidden="1" x14ac:dyDescent="0.25">
      <c r="AE53" s="1"/>
    </row>
    <row r="54" spans="2:31" hidden="1" x14ac:dyDescent="0.25">
      <c r="C54" s="153"/>
      <c r="D54" s="153"/>
      <c r="E54" s="153"/>
      <c r="F54" s="153"/>
      <c r="G54" s="153"/>
      <c r="H54" s="153"/>
      <c r="I54" s="153"/>
      <c r="J54" s="153"/>
      <c r="K54" s="153">
        <v>0.54208815860874948</v>
      </c>
      <c r="L54" s="153"/>
      <c r="M54" s="153"/>
    </row>
    <row r="55" spans="2:31" hidden="1" x14ac:dyDescent="0.25"/>
    <row r="56" spans="2:31" hidden="1" x14ac:dyDescent="0.25"/>
    <row r="57" spans="2:31" hidden="1" x14ac:dyDescent="0.25"/>
    <row r="58" spans="2:31" hidden="1" x14ac:dyDescent="0.25"/>
    <row r="59" spans="2:31" hidden="1" x14ac:dyDescent="0.25"/>
    <row r="60" spans="2:31" hidden="1" x14ac:dyDescent="0.25"/>
    <row r="61" spans="2:31" hidden="1" x14ac:dyDescent="0.25"/>
    <row r="62" spans="2:31" hidden="1" x14ac:dyDescent="0.25"/>
    <row r="63" spans="2:31" hidden="1" x14ac:dyDescent="0.25"/>
    <row r="64" spans="2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33" spans="1:31" s="4" customFormat="1" ht="25.5" customHeight="1" thickBot="1" x14ac:dyDescent="0.3">
      <c r="B133" s="85" t="s">
        <v>31</v>
      </c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Z133" s="1"/>
    </row>
    <row r="134" spans="1:31" s="4" customFormat="1" ht="6" customHeight="1" x14ac:dyDescent="0.25">
      <c r="Z134" s="1"/>
    </row>
    <row r="135" spans="1:31" s="4" customFormat="1" ht="30" x14ac:dyDescent="0.25">
      <c r="C135" s="218">
        <v>2020</v>
      </c>
      <c r="D135" s="218">
        <v>2021</v>
      </c>
      <c r="E135" s="218">
        <v>2022</v>
      </c>
      <c r="F135" s="218">
        <v>2023</v>
      </c>
      <c r="G135" s="206" t="str">
        <f>CONCATENATE("var. ",RIGHT(F135,2),"/",RIGHT(E135,2))</f>
        <v>var. 23/22</v>
      </c>
      <c r="H135" s="206" t="str">
        <f>CONCATENATE("dif. ",RIGHT(F135,2),"/",RIGHT(E135,2))</f>
        <v>dif. 23/22</v>
      </c>
      <c r="I135" s="206" t="str">
        <f>CONCATENATE("%/s total Península ",RIGHT(F135,4))</f>
        <v>%/s total Península 2023</v>
      </c>
      <c r="J135" s="218">
        <v>2024</v>
      </c>
      <c r="K135" s="206" t="str">
        <f>CONCATENATE("%/s total España ",RIGHT(J135,4))</f>
        <v>%/s total España 2024</v>
      </c>
      <c r="L135" s="206" t="str">
        <f>CONCATENATE("var. ",RIGHT(J135,2),"/",RIGHT(F135,2))</f>
        <v>var. 24/23</v>
      </c>
      <c r="M135" s="206" t="str">
        <f>CONCATENATE("dif. ",RIGHT(J135,2),"/",RIGHT(F135,2))</f>
        <v>dif. 24/23</v>
      </c>
      <c r="N135" s="206" t="str">
        <f>CONCATENATE("var. ",RIGHT(J135,2),"/",RIGHT(C135,2))</f>
        <v>var. 24/20</v>
      </c>
      <c r="O135" s="206" t="str">
        <f>CONCATENATE("dif. ",RIGHT(J135,2),"/",RIGHT(C135,2))</f>
        <v>dif. 24/20</v>
      </c>
      <c r="Z135" s="1"/>
    </row>
    <row r="136" spans="1:31" ht="18.75" x14ac:dyDescent="0.3">
      <c r="A136" s="4"/>
      <c r="B136" s="277" t="s">
        <v>206</v>
      </c>
      <c r="C136" s="281">
        <v>208389</v>
      </c>
      <c r="D136" s="281">
        <v>416048</v>
      </c>
      <c r="E136" s="281">
        <v>423208</v>
      </c>
      <c r="F136" s="281">
        <v>428791</v>
      </c>
      <c r="G136" s="282">
        <f>F136/E136-1</f>
        <v>1.3192094667397569E-2</v>
      </c>
      <c r="H136" s="281">
        <f>F136-E136</f>
        <v>5583</v>
      </c>
      <c r="I136" s="282">
        <f>F136/F$136</f>
        <v>1</v>
      </c>
      <c r="J136" s="281">
        <v>421973</v>
      </c>
      <c r="K136" s="282">
        <f>H136/H$136</f>
        <v>1</v>
      </c>
      <c r="L136" s="282">
        <f>J136/F136-1</f>
        <v>-1.5900520300099585E-2</v>
      </c>
      <c r="M136" s="281">
        <f>J136-F136</f>
        <v>-6818</v>
      </c>
      <c r="N136" s="282">
        <f>J136/C136-1</f>
        <v>1.0249293388806513</v>
      </c>
      <c r="O136" s="281">
        <f>J136-C136</f>
        <v>213584</v>
      </c>
      <c r="Q136" s="37"/>
      <c r="R136" s="103"/>
      <c r="Z136" s="1" t="s">
        <v>179</v>
      </c>
      <c r="AE136"/>
    </row>
    <row r="137" spans="1:31" s="4" customFormat="1" x14ac:dyDescent="0.25">
      <c r="B137" s="288" t="s">
        <v>46</v>
      </c>
      <c r="C137" s="306">
        <v>68476</v>
      </c>
      <c r="D137" s="306">
        <v>126666</v>
      </c>
      <c r="E137" s="306">
        <v>86811</v>
      </c>
      <c r="F137" s="306">
        <v>75374</v>
      </c>
      <c r="G137" s="312">
        <f t="shared" ref="G137:G146" si="12">F137/E137-1</f>
        <v>-0.13174597689232936</v>
      </c>
      <c r="H137" s="320">
        <f t="shared" ref="H137:H146" si="13">F137-E137</f>
        <v>-11437</v>
      </c>
      <c r="I137" s="314">
        <f t="shared" ref="I137:K146" si="14">F137/F$136</f>
        <v>0.17578260737748694</v>
      </c>
      <c r="J137" s="306">
        <v>60650</v>
      </c>
      <c r="K137" s="314">
        <f t="shared" si="14"/>
        <v>-2.0485402113559017</v>
      </c>
      <c r="L137" s="314">
        <f t="shared" ref="L137:L146" si="15">J137/F137-1</f>
        <v>-0.19534587523549229</v>
      </c>
      <c r="M137" s="313">
        <f t="shared" ref="M137:M146" si="16">J137-F137</f>
        <v>-14724</v>
      </c>
      <c r="N137" s="312">
        <f t="shared" ref="N137:N146" si="17">J137/C137-1</f>
        <v>-0.11428821776972953</v>
      </c>
      <c r="O137" s="306">
        <f t="shared" ref="O137:O146" si="18">J137-C137</f>
        <v>-7826</v>
      </c>
      <c r="Q137" s="37"/>
      <c r="R137" s="103"/>
      <c r="Z137" s="1" t="s">
        <v>181</v>
      </c>
    </row>
    <row r="138" spans="1:31" s="4" customFormat="1" x14ac:dyDescent="0.25">
      <c r="B138" s="288" t="s">
        <v>47</v>
      </c>
      <c r="C138" s="306">
        <v>24912</v>
      </c>
      <c r="D138" s="306">
        <v>43482</v>
      </c>
      <c r="E138" s="306">
        <v>48094</v>
      </c>
      <c r="F138" s="306">
        <v>51902</v>
      </c>
      <c r="G138" s="312">
        <f t="shared" si="12"/>
        <v>7.9178275876408799E-2</v>
      </c>
      <c r="H138" s="320">
        <f t="shared" si="13"/>
        <v>3808</v>
      </c>
      <c r="I138" s="314">
        <f t="shared" si="14"/>
        <v>0.12104265248104555</v>
      </c>
      <c r="J138" s="306">
        <v>50245</v>
      </c>
      <c r="K138" s="314">
        <f t="shared" si="14"/>
        <v>0.68207057137739568</v>
      </c>
      <c r="L138" s="314">
        <f t="shared" si="15"/>
        <v>-3.1925552001849655E-2</v>
      </c>
      <c r="M138" s="313">
        <f t="shared" si="16"/>
        <v>-1657</v>
      </c>
      <c r="N138" s="312">
        <f t="shared" si="17"/>
        <v>1.0168994861913938</v>
      </c>
      <c r="O138" s="306">
        <f t="shared" si="18"/>
        <v>25333</v>
      </c>
      <c r="Q138" s="37"/>
      <c r="R138" s="103"/>
      <c r="Z138" s="1"/>
    </row>
    <row r="139" spans="1:31" s="4" customFormat="1" x14ac:dyDescent="0.25">
      <c r="B139" s="288" t="s">
        <v>48</v>
      </c>
      <c r="C139" s="306">
        <v>1658</v>
      </c>
      <c r="D139" s="306">
        <v>2415</v>
      </c>
      <c r="E139" s="306">
        <v>3515</v>
      </c>
      <c r="F139" s="306">
        <v>14811</v>
      </c>
      <c r="G139" s="312">
        <f t="shared" si="12"/>
        <v>3.2136557610241825</v>
      </c>
      <c r="H139" s="321">
        <f t="shared" si="13"/>
        <v>11296</v>
      </c>
      <c r="I139" s="318">
        <f t="shared" si="14"/>
        <v>3.4541303338922691E-2</v>
      </c>
      <c r="J139" s="306">
        <v>7251</v>
      </c>
      <c r="K139" s="318">
        <f t="shared" si="14"/>
        <v>2.0232849722371484</v>
      </c>
      <c r="L139" s="314">
        <f t="shared" si="15"/>
        <v>-0.51043143609479436</v>
      </c>
      <c r="M139" s="313">
        <f t="shared" si="16"/>
        <v>-7560</v>
      </c>
      <c r="N139" s="312">
        <f t="shared" si="17"/>
        <v>3.3733413751507841</v>
      </c>
      <c r="O139" s="306">
        <f t="shared" si="18"/>
        <v>5593</v>
      </c>
      <c r="Q139" s="37"/>
      <c r="R139" s="103"/>
      <c r="Z139" s="1"/>
    </row>
    <row r="140" spans="1:31" s="4" customFormat="1" x14ac:dyDescent="0.25">
      <c r="B140" s="288" t="s">
        <v>50</v>
      </c>
      <c r="C140" s="306">
        <v>28320</v>
      </c>
      <c r="D140" s="306">
        <v>66989</v>
      </c>
      <c r="E140" s="306">
        <v>97391</v>
      </c>
      <c r="F140" s="306">
        <v>92103</v>
      </c>
      <c r="G140" s="312">
        <f t="shared" si="12"/>
        <v>-5.4296598248298134E-2</v>
      </c>
      <c r="H140" s="320">
        <f t="shared" si="13"/>
        <v>-5288</v>
      </c>
      <c r="I140" s="314">
        <f t="shared" si="14"/>
        <v>0.21479695236140683</v>
      </c>
      <c r="J140" s="306">
        <v>106284</v>
      </c>
      <c r="K140" s="314">
        <f t="shared" si="14"/>
        <v>-0.94716102453877848</v>
      </c>
      <c r="L140" s="314">
        <f t="shared" si="15"/>
        <v>0.15396892609361257</v>
      </c>
      <c r="M140" s="313">
        <f t="shared" si="16"/>
        <v>14181</v>
      </c>
      <c r="N140" s="312">
        <f t="shared" si="17"/>
        <v>2.7529661016949154</v>
      </c>
      <c r="O140" s="306">
        <f t="shared" si="18"/>
        <v>77964</v>
      </c>
      <c r="Q140" s="37"/>
      <c r="R140" s="103"/>
      <c r="Z140" s="1"/>
    </row>
    <row r="141" spans="1:31" s="4" customFormat="1" x14ac:dyDescent="0.25">
      <c r="B141" s="288" t="s">
        <v>52</v>
      </c>
      <c r="C141" s="306">
        <v>4963</v>
      </c>
      <c r="D141" s="306">
        <v>24120</v>
      </c>
      <c r="E141" s="306">
        <v>16359</v>
      </c>
      <c r="F141" s="306">
        <v>19520</v>
      </c>
      <c r="G141" s="312">
        <f t="shared" si="12"/>
        <v>0.19322696986368371</v>
      </c>
      <c r="H141" s="321">
        <f t="shared" si="13"/>
        <v>3161</v>
      </c>
      <c r="I141" s="318">
        <f t="shared" si="14"/>
        <v>4.5523343540326174E-2</v>
      </c>
      <c r="J141" s="306">
        <v>16099</v>
      </c>
      <c r="K141" s="318">
        <f t="shared" si="14"/>
        <v>0.56618305570481819</v>
      </c>
      <c r="L141" s="314">
        <f t="shared" si="15"/>
        <v>-0.17525614754098362</v>
      </c>
      <c r="M141" s="313">
        <f t="shared" si="16"/>
        <v>-3421</v>
      </c>
      <c r="N141" s="312">
        <f t="shared" si="17"/>
        <v>2.243804150715293</v>
      </c>
      <c r="O141" s="306">
        <f t="shared" si="18"/>
        <v>11136</v>
      </c>
      <c r="Q141" s="37"/>
      <c r="R141" s="103"/>
      <c r="Z141" s="1"/>
    </row>
    <row r="142" spans="1:31" s="4" customFormat="1" x14ac:dyDescent="0.25">
      <c r="B142" s="288" t="s">
        <v>53</v>
      </c>
      <c r="C142" s="306">
        <v>27791</v>
      </c>
      <c r="D142" s="306">
        <v>53247</v>
      </c>
      <c r="E142" s="306">
        <v>69865</v>
      </c>
      <c r="F142" s="306">
        <v>66121</v>
      </c>
      <c r="G142" s="312">
        <f t="shared" si="12"/>
        <v>-5.3589064624633198E-2</v>
      </c>
      <c r="H142" s="320">
        <f t="shared" si="13"/>
        <v>-3744</v>
      </c>
      <c r="I142" s="314">
        <f t="shared" si="14"/>
        <v>0.1542033298273518</v>
      </c>
      <c r="J142" s="306">
        <v>75793</v>
      </c>
      <c r="K142" s="314">
        <f t="shared" si="14"/>
        <v>-0.67060720042987643</v>
      </c>
      <c r="L142" s="314">
        <f t="shared" si="15"/>
        <v>0.14627727953297742</v>
      </c>
      <c r="M142" s="313">
        <f t="shared" si="16"/>
        <v>9672</v>
      </c>
      <c r="N142" s="312">
        <f t="shared" si="17"/>
        <v>1.7272498290813574</v>
      </c>
      <c r="O142" s="306">
        <f t="shared" si="18"/>
        <v>48002</v>
      </c>
      <c r="Q142" s="37"/>
      <c r="R142" s="103"/>
      <c r="Z142" s="1"/>
    </row>
    <row r="143" spans="1:31" s="4" customFormat="1" x14ac:dyDescent="0.25">
      <c r="B143" s="288" t="s">
        <v>51</v>
      </c>
      <c r="C143" s="306">
        <v>8684</v>
      </c>
      <c r="D143" s="306">
        <v>11001</v>
      </c>
      <c r="E143" s="306">
        <v>16289</v>
      </c>
      <c r="F143" s="306">
        <v>12024</v>
      </c>
      <c r="G143" s="312">
        <f t="shared" si="12"/>
        <v>-0.261833138928111</v>
      </c>
      <c r="H143" s="321">
        <f t="shared" si="13"/>
        <v>-4265</v>
      </c>
      <c r="I143" s="318">
        <f t="shared" si="14"/>
        <v>2.8041633336520589E-2</v>
      </c>
      <c r="J143" s="306">
        <v>11877</v>
      </c>
      <c r="K143" s="318">
        <f t="shared" si="14"/>
        <v>-0.76392620454952531</v>
      </c>
      <c r="L143" s="314">
        <f t="shared" si="15"/>
        <v>-1.2225548902195627E-2</v>
      </c>
      <c r="M143" s="313">
        <f t="shared" si="16"/>
        <v>-147</v>
      </c>
      <c r="N143" s="312">
        <f t="shared" si="17"/>
        <v>0.36768770152003682</v>
      </c>
      <c r="O143" s="306">
        <f t="shared" si="18"/>
        <v>3193</v>
      </c>
      <c r="Q143" s="37"/>
      <c r="R143" s="103"/>
      <c r="Z143" s="1"/>
    </row>
    <row r="144" spans="1:31" s="4" customFormat="1" x14ac:dyDescent="0.25">
      <c r="B144" s="288" t="s">
        <v>54</v>
      </c>
      <c r="C144" s="306">
        <v>20058</v>
      </c>
      <c r="D144" s="306">
        <v>34195</v>
      </c>
      <c r="E144" s="306">
        <v>19943</v>
      </c>
      <c r="F144" s="306">
        <v>20738</v>
      </c>
      <c r="G144" s="312">
        <f t="shared" si="12"/>
        <v>3.9863611292182632E-2</v>
      </c>
      <c r="H144" s="320">
        <f t="shared" si="13"/>
        <v>795</v>
      </c>
      <c r="I144" s="314">
        <f t="shared" si="14"/>
        <v>4.8363888234594477E-2</v>
      </c>
      <c r="J144" s="306">
        <v>18376</v>
      </c>
      <c r="K144" s="314">
        <f t="shared" si="14"/>
        <v>0.14239656098871575</v>
      </c>
      <c r="L144" s="314">
        <f t="shared" si="15"/>
        <v>-0.1138971935577201</v>
      </c>
      <c r="M144" s="313">
        <f t="shared" si="16"/>
        <v>-2362</v>
      </c>
      <c r="N144" s="312">
        <f t="shared" si="17"/>
        <v>-8.3856815235816118E-2</v>
      </c>
      <c r="O144" s="306">
        <f t="shared" si="18"/>
        <v>-1682</v>
      </c>
      <c r="Q144" s="37"/>
      <c r="R144" s="103"/>
      <c r="Z144" s="1"/>
    </row>
    <row r="145" spans="2:31" s="4" customFormat="1" x14ac:dyDescent="0.25">
      <c r="B145" s="288" t="s">
        <v>49</v>
      </c>
      <c r="C145" s="306">
        <v>8930</v>
      </c>
      <c r="D145" s="306">
        <v>21567</v>
      </c>
      <c r="E145" s="306">
        <v>23338</v>
      </c>
      <c r="F145" s="306">
        <v>31999</v>
      </c>
      <c r="G145" s="312">
        <f t="shared" si="12"/>
        <v>0.37111149198731685</v>
      </c>
      <c r="H145" s="321">
        <f t="shared" si="13"/>
        <v>8661</v>
      </c>
      <c r="I145" s="318">
        <f t="shared" si="14"/>
        <v>7.4626099894820552E-2</v>
      </c>
      <c r="J145" s="306">
        <v>37562</v>
      </c>
      <c r="K145" s="318">
        <f t="shared" si="14"/>
        <v>1.5513164965072541</v>
      </c>
      <c r="L145" s="314">
        <f t="shared" si="15"/>
        <v>0.17384918278696215</v>
      </c>
      <c r="M145" s="313">
        <f t="shared" si="16"/>
        <v>5563</v>
      </c>
      <c r="N145" s="312">
        <f t="shared" si="17"/>
        <v>3.2062709966405372</v>
      </c>
      <c r="O145" s="306">
        <f t="shared" si="18"/>
        <v>28632</v>
      </c>
      <c r="Q145" s="37"/>
      <c r="R145" s="103"/>
      <c r="Z145" s="1"/>
    </row>
    <row r="146" spans="2:31" s="4" customFormat="1" x14ac:dyDescent="0.25">
      <c r="B146" s="288" t="s">
        <v>207</v>
      </c>
      <c r="C146" s="306">
        <f>C136-SUM(C137:C145)</f>
        <v>14597</v>
      </c>
      <c r="D146" s="306">
        <f>D136-SUM(D137:D145)</f>
        <v>32366</v>
      </c>
      <c r="E146" s="306">
        <f>E136-SUM(E137:E145)</f>
        <v>41603</v>
      </c>
      <c r="F146" s="306">
        <f>F136-SUM(F137:F145)</f>
        <v>44199</v>
      </c>
      <c r="G146" s="312">
        <f t="shared" si="12"/>
        <v>6.2399346200995076E-2</v>
      </c>
      <c r="H146" s="320">
        <f t="shared" si="13"/>
        <v>2596</v>
      </c>
      <c r="I146" s="314">
        <f t="shared" si="14"/>
        <v>0.10307818960752441</v>
      </c>
      <c r="J146" s="306">
        <f>J136-SUM(J137:J145)</f>
        <v>37836</v>
      </c>
      <c r="K146" s="314">
        <f t="shared" si="14"/>
        <v>0.46498298405874977</v>
      </c>
      <c r="L146" s="314">
        <f t="shared" si="15"/>
        <v>-0.14396253308898388</v>
      </c>
      <c r="M146" s="313">
        <f t="shared" si="16"/>
        <v>-6363</v>
      </c>
      <c r="N146" s="312">
        <f t="shared" si="17"/>
        <v>1.592039460163047</v>
      </c>
      <c r="O146" s="306">
        <f t="shared" si="18"/>
        <v>23239</v>
      </c>
      <c r="Q146" s="37"/>
      <c r="R146" s="103"/>
      <c r="Z146" s="1"/>
    </row>
    <row r="147" spans="2:31" s="4" customFormat="1" ht="7.5" customHeight="1" x14ac:dyDescent="0.25">
      <c r="B147" s="289"/>
      <c r="C147" s="289"/>
      <c r="D147" s="289"/>
      <c r="E147" s="289"/>
      <c r="F147" s="289"/>
      <c r="G147" s="289"/>
      <c r="H147" s="289"/>
      <c r="I147" s="289"/>
      <c r="J147" s="289"/>
      <c r="K147" s="289"/>
      <c r="L147" s="289"/>
      <c r="M147" s="289"/>
      <c r="N147" s="289"/>
      <c r="O147" s="289"/>
      <c r="Z147" s="1" t="s">
        <v>186</v>
      </c>
    </row>
    <row r="148" spans="2:31" s="4" customFormat="1" x14ac:dyDescent="0.25">
      <c r="B148" s="202" t="s">
        <v>187</v>
      </c>
      <c r="C148" s="202"/>
      <c r="D148" s="202"/>
      <c r="E148" s="202"/>
      <c r="F148" s="202"/>
      <c r="G148" s="202"/>
      <c r="H148" s="202"/>
      <c r="I148" s="202"/>
      <c r="J148" s="202"/>
      <c r="K148" s="202"/>
      <c r="L148" s="202"/>
      <c r="M148" s="202"/>
      <c r="N148" s="202"/>
      <c r="O148" s="202"/>
      <c r="Z148" s="1" t="s">
        <v>188</v>
      </c>
    </row>
    <row r="149" spans="2:31" x14ac:dyDescent="0.25">
      <c r="Z149" s="1"/>
      <c r="AE149"/>
    </row>
  </sheetData>
  <mergeCells count="2">
    <mergeCell ref="B42:S42"/>
    <mergeCell ref="B52:S5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B4CF5-F218-494A-9760-7AFD8878E06B}">
  <sheetPr>
    <tabColor theme="4" tint="0.39997558519241921"/>
  </sheetPr>
  <dimension ref="A4:E24"/>
  <sheetViews>
    <sheetView showGridLines="0" zoomScaleNormal="100" workbookViewId="0">
      <selection activeCell="G10" sqref="G10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12" t="s">
        <v>318</v>
      </c>
      <c r="C4" s="12"/>
      <c r="D4" s="12"/>
      <c r="E4" s="1" t="s">
        <v>68</v>
      </c>
    </row>
    <row r="5" spans="1:5" ht="10.5" customHeight="1" thickBot="1" x14ac:dyDescent="0.3">
      <c r="B5" s="132"/>
      <c r="C5" s="133"/>
      <c r="D5" s="132"/>
      <c r="E5" s="1" t="s">
        <v>69</v>
      </c>
    </row>
    <row r="6" spans="1:5" ht="22.5" thickTop="1" thickBot="1" x14ac:dyDescent="0.3">
      <c r="B6" s="134" t="s">
        <v>32</v>
      </c>
      <c r="C6" s="135" t="s">
        <v>210</v>
      </c>
      <c r="D6" s="136"/>
    </row>
    <row r="7" spans="1:5" ht="16.5" thickTop="1" thickBot="1" x14ac:dyDescent="0.3">
      <c r="B7" s="109"/>
      <c r="C7" s="142" t="s">
        <v>140</v>
      </c>
      <c r="D7" s="143" t="s">
        <v>141</v>
      </c>
    </row>
    <row r="8" spans="1:5" x14ac:dyDescent="0.25">
      <c r="A8" s="1" t="s">
        <v>72</v>
      </c>
      <c r="B8" s="145">
        <v>2024</v>
      </c>
      <c r="C8" s="146">
        <v>29188</v>
      </c>
      <c r="D8" s="147">
        <f t="shared" ref="D8:D21" si="0">C8/C9-1</f>
        <v>-8.838778187269658E-2</v>
      </c>
    </row>
    <row r="9" spans="1:5" x14ac:dyDescent="0.25">
      <c r="A9" s="1"/>
      <c r="B9" s="145">
        <v>2023</v>
      </c>
      <c r="C9" s="146">
        <v>32018</v>
      </c>
      <c r="D9" s="147">
        <f t="shared" si="0"/>
        <v>0.10175148824885594</v>
      </c>
    </row>
    <row r="10" spans="1:5" x14ac:dyDescent="0.25">
      <c r="A10" s="1"/>
      <c r="B10" s="145">
        <v>2022</v>
      </c>
      <c r="C10" s="146">
        <v>29061</v>
      </c>
      <c r="D10" s="147">
        <f t="shared" si="0"/>
        <v>-0.35728503184713378</v>
      </c>
    </row>
    <row r="11" spans="1:5" x14ac:dyDescent="0.25">
      <c r="A11" s="1"/>
      <c r="B11" s="145">
        <v>2021</v>
      </c>
      <c r="C11" s="146">
        <v>45216</v>
      </c>
      <c r="D11" s="147">
        <f t="shared" si="0"/>
        <v>0.68471254517679503</v>
      </c>
    </row>
    <row r="12" spans="1:5" x14ac:dyDescent="0.25">
      <c r="A12" s="1" t="s">
        <v>74</v>
      </c>
      <c r="B12" s="145">
        <v>2020</v>
      </c>
      <c r="C12" s="146">
        <v>26839</v>
      </c>
      <c r="D12" s="147">
        <f t="shared" si="0"/>
        <v>-0.41112842003642192</v>
      </c>
    </row>
    <row r="13" spans="1:5" x14ac:dyDescent="0.25">
      <c r="A13" s="1" t="s">
        <v>76</v>
      </c>
      <c r="B13" s="145">
        <v>2019</v>
      </c>
      <c r="C13" s="146">
        <v>45577</v>
      </c>
      <c r="D13" s="147">
        <f t="shared" si="0"/>
        <v>-0.12297952586206895</v>
      </c>
    </row>
    <row r="14" spans="1:5" x14ac:dyDescent="0.25">
      <c r="A14" s="1" t="s">
        <v>78</v>
      </c>
      <c r="B14" s="145">
        <v>2018</v>
      </c>
      <c r="C14" s="146">
        <v>51968</v>
      </c>
      <c r="D14" s="147">
        <f t="shared" si="0"/>
        <v>0.26233968130586871</v>
      </c>
    </row>
    <row r="15" spans="1:5" x14ac:dyDescent="0.25">
      <c r="A15" s="1" t="s">
        <v>80</v>
      </c>
      <c r="B15" s="145">
        <v>2017</v>
      </c>
      <c r="C15" s="146">
        <v>41168</v>
      </c>
      <c r="D15" s="147">
        <f t="shared" si="0"/>
        <v>1.1424219345011366E-2</v>
      </c>
    </row>
    <row r="16" spans="1:5" x14ac:dyDescent="0.25">
      <c r="A16" s="1" t="s">
        <v>82</v>
      </c>
      <c r="B16" s="145">
        <v>2016</v>
      </c>
      <c r="C16" s="146">
        <v>40703</v>
      </c>
      <c r="D16" s="147">
        <f>C16/C17-1</f>
        <v>-7.3165378143063009E-3</v>
      </c>
    </row>
    <row r="17" spans="1:4" x14ac:dyDescent="0.25">
      <c r="A17" s="1" t="s">
        <v>84</v>
      </c>
      <c r="B17" s="145">
        <v>2015</v>
      </c>
      <c r="C17" s="146">
        <v>41003</v>
      </c>
      <c r="D17" s="147">
        <f t="shared" si="0"/>
        <v>-0.11377439643806597</v>
      </c>
    </row>
    <row r="18" spans="1:4" x14ac:dyDescent="0.25">
      <c r="A18" s="1" t="s">
        <v>86</v>
      </c>
      <c r="B18" s="145">
        <v>2014</v>
      </c>
      <c r="C18" s="146">
        <v>46267</v>
      </c>
      <c r="D18" s="147">
        <f t="shared" si="0"/>
        <v>0.20732216481394494</v>
      </c>
    </row>
    <row r="19" spans="1:4" x14ac:dyDescent="0.25">
      <c r="A19" s="1" t="s">
        <v>88</v>
      </c>
      <c r="B19" s="145">
        <v>2013</v>
      </c>
      <c r="C19" s="146">
        <v>38322</v>
      </c>
      <c r="D19" s="147">
        <f t="shared" si="0"/>
        <v>-7.4459606327738181E-2</v>
      </c>
    </row>
    <row r="20" spans="1:4" x14ac:dyDescent="0.25">
      <c r="A20" s="1" t="s">
        <v>90</v>
      </c>
      <c r="B20" s="145">
        <v>2012</v>
      </c>
      <c r="C20" s="146">
        <v>41405</v>
      </c>
      <c r="D20" s="147">
        <f>C20/C21-1</f>
        <v>9.1270887143534818E-2</v>
      </c>
    </row>
    <row r="21" spans="1:4" x14ac:dyDescent="0.25">
      <c r="A21" s="1" t="s">
        <v>92</v>
      </c>
      <c r="B21" s="145">
        <v>2011</v>
      </c>
      <c r="C21" s="146">
        <v>37942</v>
      </c>
      <c r="D21" s="147">
        <f t="shared" si="0"/>
        <v>-0.2925624149311058</v>
      </c>
    </row>
    <row r="22" spans="1:4" x14ac:dyDescent="0.25">
      <c r="A22" s="1" t="s">
        <v>94</v>
      </c>
      <c r="B22" s="145">
        <v>2010</v>
      </c>
      <c r="C22" s="146">
        <v>53633</v>
      </c>
      <c r="D22" s="147"/>
    </row>
    <row r="23" spans="1:4" ht="6" customHeight="1" x14ac:dyDescent="0.25"/>
    <row r="24" spans="1:4" x14ac:dyDescent="0.25">
      <c r="B24" s="131" t="s">
        <v>57</v>
      </c>
      <c r="C24" s="131"/>
      <c r="D24" s="131"/>
    </row>
  </sheetData>
  <mergeCells count="2">
    <mergeCell ref="B4:D4"/>
    <mergeCell ref="C6:D6"/>
  </mergeCells>
  <pageMargins left="0.7" right="0.7" top="0.75" bottom="0.75" header="0.3" footer="0.3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D9D62-FD54-4275-B11D-FE5891156461}">
  <sheetPr>
    <tabColor theme="4" tint="0.39997558519241921"/>
  </sheetPr>
  <dimension ref="A4:E24"/>
  <sheetViews>
    <sheetView showGridLines="0" zoomScaleNormal="100" workbookViewId="0">
      <selection activeCell="G10" sqref="G10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12" t="s">
        <v>319</v>
      </c>
      <c r="C4" s="12"/>
      <c r="D4" s="12"/>
      <c r="E4" s="1" t="s">
        <v>68</v>
      </c>
    </row>
    <row r="5" spans="1:5" ht="10.5" customHeight="1" thickBot="1" x14ac:dyDescent="0.3">
      <c r="B5" s="132"/>
      <c r="C5" s="133"/>
      <c r="D5" s="132"/>
      <c r="E5" s="1" t="s">
        <v>69</v>
      </c>
    </row>
    <row r="6" spans="1:5" ht="22.5" thickTop="1" thickBot="1" x14ac:dyDescent="0.3">
      <c r="B6" s="134" t="s">
        <v>32</v>
      </c>
      <c r="C6" s="135" t="s">
        <v>211</v>
      </c>
      <c r="D6" s="136"/>
    </row>
    <row r="7" spans="1:5" ht="16.5" thickTop="1" thickBot="1" x14ac:dyDescent="0.3">
      <c r="B7" s="109"/>
      <c r="C7" s="142" t="s">
        <v>140</v>
      </c>
      <c r="D7" s="143" t="s">
        <v>141</v>
      </c>
    </row>
    <row r="8" spans="1:5" x14ac:dyDescent="0.25">
      <c r="A8" s="1" t="s">
        <v>72</v>
      </c>
      <c r="B8" s="145">
        <v>2024</v>
      </c>
      <c r="C8" s="146">
        <v>10812</v>
      </c>
      <c r="D8" s="147">
        <f t="shared" ref="D8:D21" si="0">C8/C9-1</f>
        <v>-4.1489361702127692E-2</v>
      </c>
    </row>
    <row r="9" spans="1:5" x14ac:dyDescent="0.25">
      <c r="A9" s="1"/>
      <c r="B9" s="145">
        <v>2023</v>
      </c>
      <c r="C9" s="146">
        <v>11280</v>
      </c>
      <c r="D9" s="147">
        <f t="shared" si="0"/>
        <v>0.23711340206185572</v>
      </c>
    </row>
    <row r="10" spans="1:5" x14ac:dyDescent="0.25">
      <c r="A10" s="1"/>
      <c r="B10" s="145">
        <v>2022</v>
      </c>
      <c r="C10" s="146">
        <v>9118</v>
      </c>
      <c r="D10" s="147">
        <f t="shared" si="0"/>
        <v>-0.17267035659196084</v>
      </c>
    </row>
    <row r="11" spans="1:5" x14ac:dyDescent="0.25">
      <c r="A11" s="1"/>
      <c r="B11" s="145">
        <v>2021</v>
      </c>
      <c r="C11" s="146">
        <v>11021</v>
      </c>
      <c r="D11" s="147">
        <f t="shared" si="0"/>
        <v>0.6252765078896918</v>
      </c>
    </row>
    <row r="12" spans="1:5" x14ac:dyDescent="0.25">
      <c r="A12" s="1" t="s">
        <v>74</v>
      </c>
      <c r="B12" s="145">
        <v>2020</v>
      </c>
      <c r="C12" s="146">
        <v>6781</v>
      </c>
      <c r="D12" s="147">
        <f t="shared" si="0"/>
        <v>-0.6722096002320298</v>
      </c>
    </row>
    <row r="13" spans="1:5" x14ac:dyDescent="0.25">
      <c r="A13" s="1" t="s">
        <v>76</v>
      </c>
      <c r="B13" s="145">
        <v>2019</v>
      </c>
      <c r="C13" s="146">
        <v>20687</v>
      </c>
      <c r="D13" s="147">
        <f t="shared" si="0"/>
        <v>0.35625778535370101</v>
      </c>
    </row>
    <row r="14" spans="1:5" x14ac:dyDescent="0.25">
      <c r="A14" s="1" t="s">
        <v>78</v>
      </c>
      <c r="B14" s="145">
        <v>2018</v>
      </c>
      <c r="C14" s="146">
        <v>15253</v>
      </c>
      <c r="D14" s="147">
        <f t="shared" si="0"/>
        <v>0.23656262667207129</v>
      </c>
    </row>
    <row r="15" spans="1:5" x14ac:dyDescent="0.25">
      <c r="A15" s="1" t="s">
        <v>80</v>
      </c>
      <c r="B15" s="145">
        <v>2017</v>
      </c>
      <c r="C15" s="146">
        <v>12335</v>
      </c>
      <c r="D15" s="147">
        <f>C15/C16-1</f>
        <v>0.10946213347724409</v>
      </c>
    </row>
    <row r="16" spans="1:5" x14ac:dyDescent="0.25">
      <c r="A16" s="1" t="s">
        <v>82</v>
      </c>
      <c r="B16" s="145">
        <v>2016</v>
      </c>
      <c r="C16" s="146">
        <v>11118</v>
      </c>
      <c r="D16" s="147">
        <f>C16/C17-1</f>
        <v>4.081632653061229E-2</v>
      </c>
    </row>
    <row r="17" spans="1:4" x14ac:dyDescent="0.25">
      <c r="A17" s="1" t="s">
        <v>84</v>
      </c>
      <c r="B17" s="145">
        <v>2015</v>
      </c>
      <c r="C17" s="146">
        <v>10682</v>
      </c>
      <c r="D17" s="147">
        <f t="shared" si="0"/>
        <v>-0.18638129332013098</v>
      </c>
    </row>
    <row r="18" spans="1:4" x14ac:dyDescent="0.25">
      <c r="A18" s="1" t="s">
        <v>86</v>
      </c>
      <c r="B18" s="145">
        <v>2014</v>
      </c>
      <c r="C18" s="146">
        <v>13129</v>
      </c>
      <c r="D18" s="147">
        <f t="shared" si="0"/>
        <v>0.17770003588087557</v>
      </c>
    </row>
    <row r="19" spans="1:4" x14ac:dyDescent="0.25">
      <c r="A19" s="1" t="s">
        <v>88</v>
      </c>
      <c r="B19" s="145">
        <v>2013</v>
      </c>
      <c r="C19" s="146">
        <v>11148</v>
      </c>
      <c r="D19" s="147">
        <f t="shared" si="0"/>
        <v>-0.50822709426970758</v>
      </c>
    </row>
    <row r="20" spans="1:4" x14ac:dyDescent="0.25">
      <c r="A20" s="1" t="s">
        <v>90</v>
      </c>
      <c r="B20" s="145">
        <v>2012</v>
      </c>
      <c r="C20" s="146">
        <v>22669</v>
      </c>
      <c r="D20" s="147">
        <f>C20/C21-1</f>
        <v>0.75919602669563857</v>
      </c>
    </row>
    <row r="21" spans="1:4" x14ac:dyDescent="0.25">
      <c r="A21" s="1" t="s">
        <v>92</v>
      </c>
      <c r="B21" s="145">
        <v>2011</v>
      </c>
      <c r="C21" s="146">
        <v>12886</v>
      </c>
      <c r="D21" s="147">
        <f t="shared" si="0"/>
        <v>0.97244757385580893</v>
      </c>
    </row>
    <row r="22" spans="1:4" x14ac:dyDescent="0.25">
      <c r="A22" s="1" t="s">
        <v>94</v>
      </c>
      <c r="B22" s="145">
        <v>2010</v>
      </c>
      <c r="C22" s="146">
        <v>6533</v>
      </c>
      <c r="D22" s="147"/>
    </row>
    <row r="23" spans="1:4" ht="6" customHeight="1" x14ac:dyDescent="0.25"/>
    <row r="24" spans="1:4" x14ac:dyDescent="0.25">
      <c r="B24" s="131" t="s">
        <v>57</v>
      </c>
      <c r="C24" s="131"/>
      <c r="D24" s="131"/>
    </row>
  </sheetData>
  <mergeCells count="2">
    <mergeCell ref="B4:D4"/>
    <mergeCell ref="C6:D6"/>
  </mergeCells>
  <pageMargins left="0.7" right="0.7" top="0.75" bottom="0.75" header="0.3" footer="0.3"/>
  <pageSetup paperSize="9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75776-39A9-449D-914C-A8A678665BAA}">
  <sheetPr>
    <tabColor theme="4" tint="0.39997558519241921"/>
  </sheetPr>
  <dimension ref="A4:E24"/>
  <sheetViews>
    <sheetView showGridLines="0" zoomScaleNormal="100" workbookViewId="0">
      <selection activeCell="G10" sqref="G10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12" t="s">
        <v>320</v>
      </c>
      <c r="C4" s="12"/>
      <c r="D4" s="12"/>
      <c r="E4" s="1" t="s">
        <v>68</v>
      </c>
    </row>
    <row r="5" spans="1:5" ht="10.5" customHeight="1" thickBot="1" x14ac:dyDescent="0.3">
      <c r="B5" s="132"/>
      <c r="C5" s="133"/>
      <c r="D5" s="132"/>
      <c r="E5" s="1" t="s">
        <v>69</v>
      </c>
    </row>
    <row r="6" spans="1:5" ht="22.5" thickTop="1" thickBot="1" x14ac:dyDescent="0.3">
      <c r="B6" s="134" t="s">
        <v>32</v>
      </c>
      <c r="C6" s="135" t="s">
        <v>212</v>
      </c>
      <c r="D6" s="136"/>
    </row>
    <row r="7" spans="1:5" ht="16.5" thickTop="1" thickBot="1" x14ac:dyDescent="0.3">
      <c r="B7" s="109"/>
      <c r="C7" s="142" t="s">
        <v>140</v>
      </c>
      <c r="D7" s="143" t="s">
        <v>141</v>
      </c>
    </row>
    <row r="8" spans="1:5" x14ac:dyDescent="0.25">
      <c r="A8" s="1" t="s">
        <v>72</v>
      </c>
      <c r="B8" s="145">
        <v>2024</v>
      </c>
      <c r="C8" s="146">
        <v>18376</v>
      </c>
      <c r="D8" s="147">
        <f t="shared" ref="D8:D21" si="0">C8/C9-1</f>
        <v>-0.1138971935577201</v>
      </c>
    </row>
    <row r="9" spans="1:5" x14ac:dyDescent="0.25">
      <c r="A9" s="1"/>
      <c r="B9" s="145">
        <v>2023</v>
      </c>
      <c r="C9" s="146">
        <v>20738</v>
      </c>
      <c r="D9" s="147">
        <f t="shared" si="0"/>
        <v>3.9863611292182632E-2</v>
      </c>
    </row>
    <row r="10" spans="1:5" x14ac:dyDescent="0.25">
      <c r="A10" s="1"/>
      <c r="B10" s="145">
        <v>2022</v>
      </c>
      <c r="C10" s="146">
        <v>19943</v>
      </c>
      <c r="D10" s="147">
        <f t="shared" si="0"/>
        <v>-0.41678607983623339</v>
      </c>
    </row>
    <row r="11" spans="1:5" x14ac:dyDescent="0.25">
      <c r="A11" s="1"/>
      <c r="B11" s="145">
        <v>2021</v>
      </c>
      <c r="C11" s="146">
        <v>34195</v>
      </c>
      <c r="D11" s="147">
        <f t="shared" si="0"/>
        <v>0.70480606241898491</v>
      </c>
    </row>
    <row r="12" spans="1:5" x14ac:dyDescent="0.25">
      <c r="A12" s="1" t="s">
        <v>74</v>
      </c>
      <c r="B12" s="145">
        <v>2020</v>
      </c>
      <c r="C12" s="146">
        <v>20058</v>
      </c>
      <c r="D12" s="147">
        <f t="shared" si="0"/>
        <v>-0.1941341904379269</v>
      </c>
    </row>
    <row r="13" spans="1:5" x14ac:dyDescent="0.25">
      <c r="A13" s="1" t="s">
        <v>76</v>
      </c>
      <c r="B13" s="145">
        <v>2019</v>
      </c>
      <c r="C13" s="146">
        <v>24890</v>
      </c>
      <c r="D13" s="147">
        <f t="shared" si="0"/>
        <v>-0.32207544600299609</v>
      </c>
    </row>
    <row r="14" spans="1:5" x14ac:dyDescent="0.25">
      <c r="A14" s="1" t="s">
        <v>78</v>
      </c>
      <c r="B14" s="145">
        <v>2018</v>
      </c>
      <c r="C14" s="146">
        <v>36715</v>
      </c>
      <c r="D14" s="147">
        <f t="shared" si="0"/>
        <v>0.27336732216557413</v>
      </c>
    </row>
    <row r="15" spans="1:5" x14ac:dyDescent="0.25">
      <c r="A15" s="1" t="s">
        <v>80</v>
      </c>
      <c r="B15" s="145">
        <v>2017</v>
      </c>
      <c r="C15" s="146">
        <v>28833</v>
      </c>
      <c r="D15" s="147">
        <f>C15/C16-1</f>
        <v>-2.5418286293729886E-2</v>
      </c>
    </row>
    <row r="16" spans="1:5" x14ac:dyDescent="0.25">
      <c r="A16" s="1" t="s">
        <v>82</v>
      </c>
      <c r="B16" s="145">
        <v>2016</v>
      </c>
      <c r="C16" s="146">
        <v>29585</v>
      </c>
      <c r="D16" s="147">
        <f>C16/C17-1</f>
        <v>-2.4273605751789162E-2</v>
      </c>
    </row>
    <row r="17" spans="1:4" x14ac:dyDescent="0.25">
      <c r="A17" s="1" t="s">
        <v>84</v>
      </c>
      <c r="B17" s="145">
        <v>2015</v>
      </c>
      <c r="C17" s="146">
        <v>30321</v>
      </c>
      <c r="D17" s="147">
        <f t="shared" si="0"/>
        <v>-8.5008147745790352E-2</v>
      </c>
    </row>
    <row r="18" spans="1:4" x14ac:dyDescent="0.25">
      <c r="A18" s="1" t="s">
        <v>86</v>
      </c>
      <c r="B18" s="145">
        <v>2014</v>
      </c>
      <c r="C18" s="146">
        <v>33138</v>
      </c>
      <c r="D18" s="147">
        <f t="shared" si="0"/>
        <v>0.21947449768160743</v>
      </c>
    </row>
    <row r="19" spans="1:4" x14ac:dyDescent="0.25">
      <c r="A19" s="1" t="s">
        <v>88</v>
      </c>
      <c r="B19" s="145">
        <v>2013</v>
      </c>
      <c r="C19" s="146">
        <v>27174</v>
      </c>
      <c r="D19" s="147">
        <f t="shared" si="0"/>
        <v>0.45036293766011948</v>
      </c>
    </row>
    <row r="20" spans="1:4" x14ac:dyDescent="0.25">
      <c r="A20" s="1" t="s">
        <v>90</v>
      </c>
      <c r="B20" s="145">
        <v>2012</v>
      </c>
      <c r="C20" s="146">
        <v>18736</v>
      </c>
      <c r="D20" s="147">
        <f>C20/C21-1</f>
        <v>-0.2522349936143039</v>
      </c>
    </row>
    <row r="21" spans="1:4" x14ac:dyDescent="0.25">
      <c r="A21" s="1" t="s">
        <v>92</v>
      </c>
      <c r="B21" s="145">
        <v>2011</v>
      </c>
      <c r="C21" s="146">
        <v>25056</v>
      </c>
      <c r="D21" s="147">
        <f t="shared" si="0"/>
        <v>-0.46802547770700642</v>
      </c>
    </row>
    <row r="22" spans="1:4" x14ac:dyDescent="0.25">
      <c r="A22" s="1" t="s">
        <v>94</v>
      </c>
      <c r="B22" s="145">
        <v>2010</v>
      </c>
      <c r="C22" s="146">
        <v>47100</v>
      </c>
      <c r="D22" s="147"/>
    </row>
    <row r="23" spans="1:4" ht="6" customHeight="1" x14ac:dyDescent="0.25"/>
    <row r="24" spans="1:4" x14ac:dyDescent="0.25">
      <c r="B24" s="131" t="s">
        <v>57</v>
      </c>
      <c r="C24" s="131"/>
      <c r="D24" s="131"/>
    </row>
  </sheetData>
  <mergeCells count="2">
    <mergeCell ref="B4:D4"/>
    <mergeCell ref="C6:D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FAD58-B73D-4677-85F0-AB8E081A495D}">
  <sheetPr>
    <tabColor rgb="FF92D050"/>
  </sheetPr>
  <dimension ref="B1:W54"/>
  <sheetViews>
    <sheetView showGridLines="0" zoomScaleNormal="100" workbookViewId="0">
      <selection activeCell="G10" sqref="G10"/>
    </sheetView>
  </sheetViews>
  <sheetFormatPr baseColWidth="10" defaultRowHeight="15" x14ac:dyDescent="0.25"/>
  <cols>
    <col min="1" max="1" width="15.5703125" customWidth="1"/>
    <col min="2" max="2" width="24.7109375" customWidth="1"/>
    <col min="3" max="8" width="11.42578125" customWidth="1"/>
    <col min="9" max="10" width="10.7109375" customWidth="1"/>
    <col min="11" max="11" width="12" customWidth="1"/>
    <col min="12" max="12" width="10.7109375" customWidth="1"/>
    <col min="13" max="18" width="12.28515625" customWidth="1"/>
    <col min="19" max="19" width="10.7109375" customWidth="1"/>
    <col min="20" max="20" width="13" customWidth="1"/>
    <col min="21" max="21" width="10.7109375" customWidth="1"/>
    <col min="24" max="24" width="14.42578125" customWidth="1"/>
    <col min="25" max="26" width="7.85546875" customWidth="1"/>
    <col min="27" max="27" width="8.140625" customWidth="1"/>
    <col min="28" max="28" width="9" customWidth="1"/>
    <col min="29" max="30" width="9.42578125" customWidth="1"/>
  </cols>
  <sheetData>
    <row r="1" spans="2:23" ht="42.75" customHeight="1" x14ac:dyDescent="0.25"/>
    <row r="3" spans="2:23" ht="30.75" customHeight="1" thickBot="1" x14ac:dyDescent="0.3">
      <c r="B3" s="106" t="str">
        <f>CONCATENATE("Plazas alojativas en funcionamiento Tenerife y municipios")</f>
        <v>Plazas alojativas en funcionamiento Tenerife y municipios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</row>
    <row r="4" spans="2:23" ht="6.95" customHeight="1" x14ac:dyDescent="0.25">
      <c r="B4" s="107"/>
      <c r="C4" s="107"/>
      <c r="D4" s="107"/>
      <c r="E4" s="107"/>
      <c r="F4" s="107"/>
      <c r="G4" s="107"/>
      <c r="H4" s="107"/>
      <c r="I4" s="108"/>
      <c r="J4" s="107"/>
      <c r="K4" s="107"/>
      <c r="L4" s="107"/>
      <c r="M4" s="107"/>
      <c r="N4" s="107"/>
      <c r="O4" s="107"/>
      <c r="P4" s="107"/>
      <c r="Q4" s="107"/>
      <c r="R4" s="108"/>
      <c r="S4" s="108"/>
      <c r="T4" s="108"/>
      <c r="U4" s="108"/>
      <c r="V4" s="108"/>
      <c r="W4" s="108"/>
    </row>
    <row r="5" spans="2:23" ht="15.75" thickBot="1" x14ac:dyDescent="0.3">
      <c r="B5" s="109"/>
      <c r="C5" s="110" t="s">
        <v>60</v>
      </c>
      <c r="D5" s="110"/>
      <c r="E5" s="110"/>
      <c r="F5" s="110"/>
      <c r="G5" s="110"/>
      <c r="H5" s="110"/>
      <c r="I5" s="111"/>
      <c r="J5" s="111"/>
      <c r="K5" s="111"/>
      <c r="L5" s="111"/>
      <c r="M5" s="112"/>
      <c r="N5" s="113" t="s">
        <v>61</v>
      </c>
      <c r="O5" s="113"/>
      <c r="P5" s="113"/>
      <c r="Q5" s="113"/>
      <c r="R5" s="113"/>
      <c r="S5" s="111"/>
      <c r="T5" s="111"/>
      <c r="U5" s="111"/>
      <c r="V5" s="111"/>
      <c r="W5" s="112"/>
    </row>
    <row r="6" spans="2:23" ht="59.25" customHeight="1" x14ac:dyDescent="0.25">
      <c r="B6" s="114"/>
      <c r="C6" s="15">
        <v>2019</v>
      </c>
      <c r="D6" s="15">
        <v>2020</v>
      </c>
      <c r="E6" s="15">
        <v>2021</v>
      </c>
      <c r="F6" s="15">
        <v>2022</v>
      </c>
      <c r="G6" s="15">
        <v>2023</v>
      </c>
      <c r="H6" s="15">
        <v>2024</v>
      </c>
      <c r="I6" s="115" t="str">
        <f>CONCATENATE("var. ",RIGHT(H6,2),"/",RIGHT(G6,2))</f>
        <v>var. 24/23</v>
      </c>
      <c r="J6" s="115" t="str">
        <f>CONCATENATE("var. ",RIGHT(H6,2),"/",RIGHT(D6,2))</f>
        <v>var. 24/20</v>
      </c>
      <c r="K6" s="115" t="str">
        <f>CONCATENATE("dif. ",RIGHT(H6,2),"/",RIGHT(G6,2))</f>
        <v>dif. 24/23</v>
      </c>
      <c r="L6" s="115" t="str">
        <f>CONCATENATE("dif. ",RIGHT(H6,2),"/",RIGHT(D6,2))</f>
        <v>dif. 24/20</v>
      </c>
      <c r="M6" s="15" t="str">
        <f>CONCATENATE("cuota/ total isla ",RIGHT(H6,2))</f>
        <v>cuota/ total isla 24</v>
      </c>
      <c r="N6" s="116" t="s">
        <v>228</v>
      </c>
      <c r="O6" s="116" t="s">
        <v>229</v>
      </c>
      <c r="P6" s="116" t="s">
        <v>230</v>
      </c>
      <c r="Q6" s="116" t="s">
        <v>231</v>
      </c>
      <c r="R6" s="116" t="s">
        <v>232</v>
      </c>
      <c r="S6" s="115" t="str">
        <f>CONCATENATE("var. ",RIGHT(R6,2),"/",RIGHT(Q6,2))</f>
        <v>var. 25/24</v>
      </c>
      <c r="T6" s="115" t="str">
        <f>CONCATENATE("var. ",RIGHT(R6,2),"/",RIGHT(N6,2))</f>
        <v>var. 25/21</v>
      </c>
      <c r="U6" s="115" t="str">
        <f>CONCATENATE("dif. ",RIGHT(R6,2),"/",RIGHT(Q6,2))</f>
        <v>dif. 25/24</v>
      </c>
      <c r="V6" s="115" t="str">
        <f>CONCATENATE("dif. ",RIGHT(R6,2),"/",RIGHT(N6,2))</f>
        <v>dif. 25/21</v>
      </c>
      <c r="W6" s="112" t="str">
        <f>CONCATENATE("cuota/ total isla ",RIGHT(R6,2))</f>
        <v>cuota/ total isla 25</v>
      </c>
    </row>
    <row r="7" spans="2:23" x14ac:dyDescent="0.25">
      <c r="B7" s="117" t="s">
        <v>45</v>
      </c>
      <c r="C7" s="118">
        <v>132144</v>
      </c>
      <c r="D7" s="118">
        <v>66601</v>
      </c>
      <c r="E7" s="118">
        <v>82456</v>
      </c>
      <c r="F7" s="118">
        <v>123696</v>
      </c>
      <c r="G7" s="118">
        <v>125536</v>
      </c>
      <c r="H7" s="118">
        <v>127400</v>
      </c>
      <c r="I7" s="119">
        <f t="shared" ref="I7:I52" si="0">IFERROR(H7/G7-1,"-")</f>
        <v>1.4848330359418904E-2</v>
      </c>
      <c r="J7" s="119">
        <f t="shared" ref="J7:J52" si="1">IFERROR(H7/D7-1,"-")</f>
        <v>0.91288419092806405</v>
      </c>
      <c r="K7" s="118">
        <f t="shared" ref="K7:K52" si="2">IFERROR(H7-G7,"-")</f>
        <v>1864</v>
      </c>
      <c r="L7" s="118">
        <f t="shared" ref="L7:L52" si="3">IFERROR(H7-D7,"-")</f>
        <v>60799</v>
      </c>
      <c r="M7" s="119">
        <f>H7/H7</f>
        <v>1</v>
      </c>
      <c r="N7" s="118">
        <v>108506</v>
      </c>
      <c r="O7" s="118">
        <v>124412</v>
      </c>
      <c r="P7" s="118">
        <v>126917</v>
      </c>
      <c r="Q7" s="118">
        <v>127349</v>
      </c>
      <c r="R7" s="118">
        <v>125629</v>
      </c>
      <c r="S7" s="119">
        <f t="shared" ref="S7:S52" si="4">IFERROR(R7/Q7-1,"-")</f>
        <v>-1.3506191646577514E-2</v>
      </c>
      <c r="T7" s="119">
        <f t="shared" ref="T7:T52" si="5">IFERROR(R7/N7-1,"-")</f>
        <v>0.15780694155161923</v>
      </c>
      <c r="U7" s="118">
        <f t="shared" ref="U7:U52" si="6">IFERROR(R7-Q7,"-")</f>
        <v>-1720</v>
      </c>
      <c r="V7" s="118">
        <f t="shared" ref="V7:V52" si="7">IFERROR(R7-N7,"-")</f>
        <v>17123</v>
      </c>
      <c r="W7" s="119">
        <f>R7/R7</f>
        <v>1</v>
      </c>
    </row>
    <row r="8" spans="2:23" x14ac:dyDescent="0.25">
      <c r="B8" s="120" t="s">
        <v>62</v>
      </c>
      <c r="C8" s="121">
        <v>88579</v>
      </c>
      <c r="D8" s="121">
        <v>44487</v>
      </c>
      <c r="E8" s="121">
        <v>56791</v>
      </c>
      <c r="F8" s="121">
        <v>89503</v>
      </c>
      <c r="G8" s="121">
        <v>89318</v>
      </c>
      <c r="H8" s="121">
        <v>91567</v>
      </c>
      <c r="I8" s="122">
        <f t="shared" si="0"/>
        <v>2.5179695022280013E-2</v>
      </c>
      <c r="J8" s="122">
        <f t="shared" si="1"/>
        <v>1.0582866904938522</v>
      </c>
      <c r="K8" s="121">
        <f t="shared" si="2"/>
        <v>2249</v>
      </c>
      <c r="L8" s="121">
        <f t="shared" si="3"/>
        <v>47080</v>
      </c>
      <c r="M8" s="122">
        <f>H8/H7</f>
        <v>0.71873626373626376</v>
      </c>
      <c r="N8" s="121">
        <v>79527</v>
      </c>
      <c r="O8" s="121">
        <v>89464</v>
      </c>
      <c r="P8" s="121">
        <v>90839</v>
      </c>
      <c r="Q8" s="121">
        <v>91665</v>
      </c>
      <c r="R8" s="121">
        <v>89611</v>
      </c>
      <c r="S8" s="122">
        <f t="shared" si="4"/>
        <v>-2.2407680139638897E-2</v>
      </c>
      <c r="T8" s="122">
        <f t="shared" si="5"/>
        <v>0.12679970324543866</v>
      </c>
      <c r="U8" s="121">
        <f t="shared" si="6"/>
        <v>-2054</v>
      </c>
      <c r="V8" s="121">
        <f t="shared" si="7"/>
        <v>10084</v>
      </c>
      <c r="W8" s="122">
        <f>R8/R7</f>
        <v>0.71329868103702165</v>
      </c>
    </row>
    <row r="9" spans="2:23" x14ac:dyDescent="0.25">
      <c r="B9" s="123" t="s">
        <v>63</v>
      </c>
      <c r="C9" s="70">
        <v>69015</v>
      </c>
      <c r="D9" s="70">
        <v>34865</v>
      </c>
      <c r="E9" s="70">
        <v>45244</v>
      </c>
      <c r="F9" s="70">
        <v>71471</v>
      </c>
      <c r="G9" s="70">
        <v>72829</v>
      </c>
      <c r="H9" s="70">
        <v>74916</v>
      </c>
      <c r="I9" s="124">
        <f t="shared" si="0"/>
        <v>2.8656167186148274E-2</v>
      </c>
      <c r="J9" s="124">
        <f t="shared" si="1"/>
        <v>1.1487451599024809</v>
      </c>
      <c r="K9" s="70">
        <f t="shared" si="2"/>
        <v>2087</v>
      </c>
      <c r="L9" s="70">
        <f t="shared" si="3"/>
        <v>40051</v>
      </c>
      <c r="M9" s="124">
        <f>H9/H7</f>
        <v>0.58803767660910522</v>
      </c>
      <c r="N9" s="70">
        <v>63504</v>
      </c>
      <c r="O9" s="70">
        <v>71177</v>
      </c>
      <c r="P9" s="70">
        <v>74929</v>
      </c>
      <c r="Q9" s="70">
        <v>75342</v>
      </c>
      <c r="R9" s="70">
        <v>73784</v>
      </c>
      <c r="S9" s="124">
        <f t="shared" si="4"/>
        <v>-2.0679036924955541E-2</v>
      </c>
      <c r="T9" s="124">
        <f t="shared" si="5"/>
        <v>0.16187956664147141</v>
      </c>
      <c r="U9" s="70">
        <f t="shared" si="6"/>
        <v>-1558</v>
      </c>
      <c r="V9" s="70">
        <f t="shared" si="7"/>
        <v>10280</v>
      </c>
      <c r="W9" s="124">
        <f>R9/R7</f>
        <v>0.58731662275430041</v>
      </c>
    </row>
    <row r="10" spans="2:23" x14ac:dyDescent="0.25">
      <c r="B10" s="123" t="s">
        <v>64</v>
      </c>
      <c r="C10" s="70">
        <v>19564</v>
      </c>
      <c r="D10" s="70">
        <v>9622</v>
      </c>
      <c r="E10" s="70">
        <v>11547</v>
      </c>
      <c r="F10" s="70">
        <v>18032</v>
      </c>
      <c r="G10" s="70">
        <v>16489</v>
      </c>
      <c r="H10" s="70">
        <v>16651</v>
      </c>
      <c r="I10" s="124">
        <f t="shared" si="0"/>
        <v>9.8247316392747752E-3</v>
      </c>
      <c r="J10" s="124">
        <f t="shared" si="1"/>
        <v>0.73051340677613807</v>
      </c>
      <c r="K10" s="70">
        <f t="shared" si="2"/>
        <v>162</v>
      </c>
      <c r="L10" s="70">
        <f t="shared" si="3"/>
        <v>7029</v>
      </c>
      <c r="M10" s="124">
        <f>H10/H7</f>
        <v>0.13069858712715857</v>
      </c>
      <c r="N10" s="70">
        <v>16023</v>
      </c>
      <c r="O10" s="70">
        <v>18287</v>
      </c>
      <c r="P10" s="70">
        <v>15910</v>
      </c>
      <c r="Q10" s="70">
        <v>16323</v>
      </c>
      <c r="R10" s="70">
        <v>15827</v>
      </c>
      <c r="S10" s="124">
        <f t="shared" si="4"/>
        <v>-3.0386571095999515E-2</v>
      </c>
      <c r="T10" s="124">
        <f t="shared" si="5"/>
        <v>-1.2232415902140636E-2</v>
      </c>
      <c r="U10" s="70">
        <f t="shared" si="6"/>
        <v>-496</v>
      </c>
      <c r="V10" s="70">
        <f t="shared" si="7"/>
        <v>-196</v>
      </c>
      <c r="W10" s="124">
        <f>R10/R7</f>
        <v>0.12598205828272135</v>
      </c>
    </row>
    <row r="11" spans="2:23" x14ac:dyDescent="0.25">
      <c r="B11" s="120" t="s">
        <v>65</v>
      </c>
      <c r="C11" s="121">
        <v>43565</v>
      </c>
      <c r="D11" s="121">
        <v>22114</v>
      </c>
      <c r="E11" s="121">
        <v>25665</v>
      </c>
      <c r="F11" s="121">
        <v>34193</v>
      </c>
      <c r="G11" s="121">
        <v>36218</v>
      </c>
      <c r="H11" s="121">
        <v>35833</v>
      </c>
      <c r="I11" s="122">
        <f t="shared" si="0"/>
        <v>-1.0630073444143795E-2</v>
      </c>
      <c r="J11" s="122">
        <f t="shared" si="1"/>
        <v>0.62037623225106264</v>
      </c>
      <c r="K11" s="121">
        <f t="shared" si="2"/>
        <v>-385</v>
      </c>
      <c r="L11" s="121">
        <f t="shared" si="3"/>
        <v>13719</v>
      </c>
      <c r="M11" s="122">
        <f>H11/H7</f>
        <v>0.28126373626373624</v>
      </c>
      <c r="N11" s="121">
        <v>28979</v>
      </c>
      <c r="O11" s="121">
        <v>34948</v>
      </c>
      <c r="P11" s="121">
        <v>36078</v>
      </c>
      <c r="Q11" s="121">
        <v>35684</v>
      </c>
      <c r="R11" s="121">
        <v>36018</v>
      </c>
      <c r="S11" s="122">
        <f t="shared" si="4"/>
        <v>9.3599372267683112E-3</v>
      </c>
      <c r="T11" s="122">
        <f t="shared" si="5"/>
        <v>0.24290003105697222</v>
      </c>
      <c r="U11" s="121">
        <f t="shared" si="6"/>
        <v>334</v>
      </c>
      <c r="V11" s="121">
        <f t="shared" si="7"/>
        <v>7039</v>
      </c>
      <c r="W11" s="122">
        <f>R11/R7</f>
        <v>0.28670131896297829</v>
      </c>
    </row>
    <row r="12" spans="2:23" x14ac:dyDescent="0.25">
      <c r="B12" s="117" t="s">
        <v>46</v>
      </c>
      <c r="C12" s="125">
        <v>46648</v>
      </c>
      <c r="D12" s="125">
        <v>23742</v>
      </c>
      <c r="E12" s="125">
        <v>29697</v>
      </c>
      <c r="F12" s="125">
        <v>44233</v>
      </c>
      <c r="G12" s="125">
        <v>45902</v>
      </c>
      <c r="H12" s="125">
        <v>46521</v>
      </c>
      <c r="I12" s="126">
        <f t="shared" si="0"/>
        <v>1.3485251187312031E-2</v>
      </c>
      <c r="J12" s="126">
        <f t="shared" si="1"/>
        <v>0.95943896891584535</v>
      </c>
      <c r="K12" s="125">
        <f t="shared" si="2"/>
        <v>619</v>
      </c>
      <c r="L12" s="125">
        <f t="shared" si="3"/>
        <v>22779</v>
      </c>
      <c r="M12" s="119">
        <f>H12/H12</f>
        <v>1</v>
      </c>
      <c r="N12" s="125">
        <v>38935</v>
      </c>
      <c r="O12" s="125">
        <v>44073</v>
      </c>
      <c r="P12" s="125">
        <v>46343</v>
      </c>
      <c r="Q12" s="125">
        <v>46333</v>
      </c>
      <c r="R12" s="125">
        <v>45273</v>
      </c>
      <c r="S12" s="126">
        <f t="shared" si="4"/>
        <v>-2.2877862430664919E-2</v>
      </c>
      <c r="T12" s="126">
        <f t="shared" si="5"/>
        <v>0.16278412739180692</v>
      </c>
      <c r="U12" s="125">
        <f t="shared" si="6"/>
        <v>-1060</v>
      </c>
      <c r="V12" s="125">
        <f t="shared" si="7"/>
        <v>6338</v>
      </c>
      <c r="W12" s="119">
        <f>R12/R12</f>
        <v>1</v>
      </c>
    </row>
    <row r="13" spans="2:23" x14ac:dyDescent="0.25">
      <c r="B13" s="120" t="s">
        <v>62</v>
      </c>
      <c r="C13" s="121">
        <v>34050</v>
      </c>
      <c r="D13" s="121">
        <v>17566</v>
      </c>
      <c r="E13" s="121">
        <v>23340</v>
      </c>
      <c r="F13" s="121">
        <v>34827</v>
      </c>
      <c r="G13" s="121">
        <v>34946</v>
      </c>
      <c r="H13" s="121">
        <v>35191</v>
      </c>
      <c r="I13" s="122">
        <f t="shared" si="0"/>
        <v>7.0108166886053702E-3</v>
      </c>
      <c r="J13" s="122">
        <f t="shared" si="1"/>
        <v>1.003358761243311</v>
      </c>
      <c r="K13" s="121">
        <f t="shared" si="2"/>
        <v>245</v>
      </c>
      <c r="L13" s="121">
        <f t="shared" si="3"/>
        <v>17625</v>
      </c>
      <c r="M13" s="122">
        <f>H13/H12</f>
        <v>0.75645407450398749</v>
      </c>
      <c r="N13" s="121">
        <v>31968</v>
      </c>
      <c r="O13" s="121">
        <v>34318</v>
      </c>
      <c r="P13" s="121">
        <v>35510</v>
      </c>
      <c r="Q13" s="121">
        <v>34946</v>
      </c>
      <c r="R13" s="121">
        <v>33654</v>
      </c>
      <c r="S13" s="122">
        <f t="shared" si="4"/>
        <v>-3.697132719052254E-2</v>
      </c>
      <c r="T13" s="122">
        <f t="shared" si="5"/>
        <v>5.2740240240240155E-2</v>
      </c>
      <c r="U13" s="121">
        <f t="shared" si="6"/>
        <v>-1292</v>
      </c>
      <c r="V13" s="121">
        <f t="shared" si="7"/>
        <v>1686</v>
      </c>
      <c r="W13" s="122">
        <f>R13/R12</f>
        <v>0.74335696772911009</v>
      </c>
    </row>
    <row r="14" spans="2:23" x14ac:dyDescent="0.25">
      <c r="B14" s="123" t="s">
        <v>63</v>
      </c>
      <c r="C14" s="70">
        <v>27660</v>
      </c>
      <c r="D14" s="70">
        <v>14847</v>
      </c>
      <c r="E14" s="70">
        <v>20181</v>
      </c>
      <c r="F14" s="70">
        <v>29820</v>
      </c>
      <c r="G14" s="70">
        <v>30493</v>
      </c>
      <c r="H14" s="70">
        <v>31141</v>
      </c>
      <c r="I14" s="124">
        <f t="shared" si="0"/>
        <v>2.1250778867281106E-2</v>
      </c>
      <c r="J14" s="124">
        <f t="shared" si="1"/>
        <v>1.0974607664848119</v>
      </c>
      <c r="K14" s="70">
        <f t="shared" si="2"/>
        <v>648</v>
      </c>
      <c r="L14" s="70">
        <f t="shared" si="3"/>
        <v>16294</v>
      </c>
      <c r="M14" s="124">
        <f>H14/H12</f>
        <v>0.66939661658175875</v>
      </c>
      <c r="N14" s="70">
        <v>27191</v>
      </c>
      <c r="O14" s="70">
        <v>29302</v>
      </c>
      <c r="P14" s="70">
        <v>31185</v>
      </c>
      <c r="Q14" s="70">
        <v>30941</v>
      </c>
      <c r="R14" s="70">
        <v>29549</v>
      </c>
      <c r="S14" s="124">
        <f t="shared" si="4"/>
        <v>-4.4988849746291359E-2</v>
      </c>
      <c r="T14" s="124">
        <f t="shared" si="5"/>
        <v>8.671987054540109E-2</v>
      </c>
      <c r="U14" s="70">
        <f t="shared" si="6"/>
        <v>-1392</v>
      </c>
      <c r="V14" s="70">
        <f t="shared" si="7"/>
        <v>2358</v>
      </c>
      <c r="W14" s="124">
        <f>R14/R12</f>
        <v>0.65268482318379606</v>
      </c>
    </row>
    <row r="15" spans="2:23" x14ac:dyDescent="0.25">
      <c r="B15" s="123" t="s">
        <v>64</v>
      </c>
      <c r="C15" s="70">
        <v>6390</v>
      </c>
      <c r="D15" s="70">
        <v>2720</v>
      </c>
      <c r="E15" s="70">
        <v>3159</v>
      </c>
      <c r="F15" s="70">
        <v>5006</v>
      </c>
      <c r="G15" s="70">
        <v>4453</v>
      </c>
      <c r="H15" s="70">
        <v>4050</v>
      </c>
      <c r="I15" s="124">
        <f t="shared" si="0"/>
        <v>-9.0500785986975085E-2</v>
      </c>
      <c r="J15" s="124">
        <f t="shared" si="1"/>
        <v>0.48897058823529416</v>
      </c>
      <c r="K15" s="70">
        <f t="shared" si="2"/>
        <v>-403</v>
      </c>
      <c r="L15" s="70">
        <f t="shared" si="3"/>
        <v>1330</v>
      </c>
      <c r="M15" s="124">
        <f>H15/H12</f>
        <v>8.7057457922228673E-2</v>
      </c>
      <c r="N15" s="70">
        <v>4777</v>
      </c>
      <c r="O15" s="70">
        <v>5016</v>
      </c>
      <c r="P15" s="70">
        <v>4325</v>
      </c>
      <c r="Q15" s="70">
        <v>4005</v>
      </c>
      <c r="R15" s="70">
        <v>4105</v>
      </c>
      <c r="S15" s="124">
        <f t="shared" si="4"/>
        <v>2.4968789013732895E-2</v>
      </c>
      <c r="T15" s="124">
        <f t="shared" si="5"/>
        <v>-0.14067406321959386</v>
      </c>
      <c r="U15" s="70">
        <f t="shared" si="6"/>
        <v>100</v>
      </c>
      <c r="V15" s="70">
        <f t="shared" si="7"/>
        <v>-672</v>
      </c>
      <c r="W15" s="124">
        <f>R15/R12</f>
        <v>9.0672144545313985E-2</v>
      </c>
    </row>
    <row r="16" spans="2:23" x14ac:dyDescent="0.25">
      <c r="B16" s="120" t="s">
        <v>65</v>
      </c>
      <c r="C16" s="121">
        <v>12598</v>
      </c>
      <c r="D16" s="121">
        <v>6176</v>
      </c>
      <c r="E16" s="121">
        <v>6357</v>
      </c>
      <c r="F16" s="121">
        <v>9406</v>
      </c>
      <c r="G16" s="121">
        <v>10956</v>
      </c>
      <c r="H16" s="121">
        <v>11330</v>
      </c>
      <c r="I16" s="122">
        <f t="shared" si="0"/>
        <v>3.4136546184738936E-2</v>
      </c>
      <c r="J16" s="122">
        <f t="shared" si="1"/>
        <v>0.83452072538860111</v>
      </c>
      <c r="K16" s="121">
        <f t="shared" si="2"/>
        <v>374</v>
      </c>
      <c r="L16" s="121">
        <f t="shared" si="3"/>
        <v>5154</v>
      </c>
      <c r="M16" s="122">
        <f>H16/H12</f>
        <v>0.24354592549601256</v>
      </c>
      <c r="N16" s="121">
        <v>6967</v>
      </c>
      <c r="O16" s="121">
        <v>9755</v>
      </c>
      <c r="P16" s="121">
        <v>10833</v>
      </c>
      <c r="Q16" s="121">
        <v>11387</v>
      </c>
      <c r="R16" s="121">
        <v>11619</v>
      </c>
      <c r="S16" s="122">
        <f t="shared" si="4"/>
        <v>2.0374110828137448E-2</v>
      </c>
      <c r="T16" s="122">
        <f t="shared" si="5"/>
        <v>0.6677192478828764</v>
      </c>
      <c r="U16" s="121">
        <f t="shared" si="6"/>
        <v>232</v>
      </c>
      <c r="V16" s="121">
        <f t="shared" si="7"/>
        <v>4652</v>
      </c>
      <c r="W16" s="122">
        <f>R16/R12</f>
        <v>0.25664303227088991</v>
      </c>
    </row>
    <row r="17" spans="2:23" x14ac:dyDescent="0.25">
      <c r="B17" s="117" t="s">
        <v>54</v>
      </c>
      <c r="C17" s="125">
        <v>6890</v>
      </c>
      <c r="D17" s="125">
        <v>3786</v>
      </c>
      <c r="E17" s="125">
        <v>4393</v>
      </c>
      <c r="F17" s="125">
        <v>6413</v>
      </c>
      <c r="G17" s="125">
        <v>6356</v>
      </c>
      <c r="H17" s="125">
        <v>6429</v>
      </c>
      <c r="I17" s="126">
        <f t="shared" si="0"/>
        <v>1.1485210824417891E-2</v>
      </c>
      <c r="J17" s="126">
        <f t="shared" si="1"/>
        <v>0.69809825673534065</v>
      </c>
      <c r="K17" s="125">
        <f t="shared" si="2"/>
        <v>73</v>
      </c>
      <c r="L17" s="125">
        <f t="shared" si="3"/>
        <v>2643</v>
      </c>
      <c r="M17" s="119">
        <f>H17/H17</f>
        <v>1</v>
      </c>
      <c r="N17" s="125">
        <v>5411</v>
      </c>
      <c r="O17" s="125">
        <v>6415</v>
      </c>
      <c r="P17" s="125">
        <v>6415</v>
      </c>
      <c r="Q17" s="125">
        <v>6415</v>
      </c>
      <c r="R17" s="125">
        <v>6497</v>
      </c>
      <c r="S17" s="126">
        <f t="shared" si="4"/>
        <v>1.278254091971931E-2</v>
      </c>
      <c r="T17" s="126">
        <f t="shared" si="5"/>
        <v>0.2007022731472925</v>
      </c>
      <c r="U17" s="125">
        <f t="shared" si="6"/>
        <v>82</v>
      </c>
      <c r="V17" s="125">
        <f t="shared" si="7"/>
        <v>1086</v>
      </c>
      <c r="W17" s="119">
        <f>R17/R17</f>
        <v>1</v>
      </c>
    </row>
    <row r="18" spans="2:23" x14ac:dyDescent="0.25">
      <c r="B18" s="120" t="s">
        <v>62</v>
      </c>
      <c r="C18" s="121">
        <v>4440</v>
      </c>
      <c r="D18" s="121">
        <v>2472</v>
      </c>
      <c r="E18" s="121">
        <v>2822</v>
      </c>
      <c r="F18" s="121">
        <v>4753</v>
      </c>
      <c r="G18" s="121">
        <v>4696</v>
      </c>
      <c r="H18" s="121">
        <v>4755</v>
      </c>
      <c r="I18" s="122">
        <f t="shared" si="0"/>
        <v>1.2563884156729044E-2</v>
      </c>
      <c r="J18" s="122">
        <f t="shared" si="1"/>
        <v>0.92354368932038833</v>
      </c>
      <c r="K18" s="121">
        <f t="shared" si="2"/>
        <v>59</v>
      </c>
      <c r="L18" s="121">
        <f t="shared" si="3"/>
        <v>2283</v>
      </c>
      <c r="M18" s="122">
        <f>H18/H17</f>
        <v>0.73961735884274382</v>
      </c>
      <c r="N18" s="121">
        <v>3751</v>
      </c>
      <c r="O18" s="121">
        <v>4755</v>
      </c>
      <c r="P18" s="121">
        <v>4755</v>
      </c>
      <c r="Q18" s="121">
        <v>4755</v>
      </c>
      <c r="R18" s="121">
        <v>4755</v>
      </c>
      <c r="S18" s="122">
        <f t="shared" si="4"/>
        <v>0</v>
      </c>
      <c r="T18" s="122">
        <f t="shared" si="5"/>
        <v>0.26766195681151683</v>
      </c>
      <c r="U18" s="121">
        <f t="shared" si="6"/>
        <v>0</v>
      </c>
      <c r="V18" s="121">
        <f t="shared" si="7"/>
        <v>1004</v>
      </c>
      <c r="W18" s="122">
        <f>R18/R17</f>
        <v>0.73187625057718952</v>
      </c>
    </row>
    <row r="19" spans="2:23" x14ac:dyDescent="0.25">
      <c r="B19" s="123" t="s">
        <v>63</v>
      </c>
      <c r="C19" s="70">
        <v>3379</v>
      </c>
      <c r="D19" s="70">
        <v>0</v>
      </c>
      <c r="E19" s="70">
        <v>2173</v>
      </c>
      <c r="F19" s="70">
        <v>3692</v>
      </c>
      <c r="G19" s="70">
        <v>3635</v>
      </c>
      <c r="H19" s="70">
        <v>3694</v>
      </c>
      <c r="I19" s="124">
        <f t="shared" si="0"/>
        <v>1.6231086657496618E-2</v>
      </c>
      <c r="J19" s="124" t="str">
        <f t="shared" si="1"/>
        <v>-</v>
      </c>
      <c r="K19" s="70">
        <f t="shared" si="2"/>
        <v>59</v>
      </c>
      <c r="L19" s="70">
        <f t="shared" si="3"/>
        <v>3694</v>
      </c>
      <c r="M19" s="124">
        <f>H19/H17</f>
        <v>0.57458391662778041</v>
      </c>
      <c r="N19" s="70">
        <v>2690</v>
      </c>
      <c r="O19" s="70">
        <v>3694</v>
      </c>
      <c r="P19" s="70">
        <v>3694</v>
      </c>
      <c r="Q19" s="70">
        <v>3694</v>
      </c>
      <c r="R19" s="70">
        <v>3694</v>
      </c>
      <c r="S19" s="124">
        <f t="shared" si="4"/>
        <v>0</v>
      </c>
      <c r="T19" s="124">
        <f t="shared" si="5"/>
        <v>0.37323420074349434</v>
      </c>
      <c r="U19" s="70">
        <f t="shared" si="6"/>
        <v>0</v>
      </c>
      <c r="V19" s="70">
        <f t="shared" si="7"/>
        <v>1004</v>
      </c>
      <c r="W19" s="124">
        <f>R19/R17</f>
        <v>0.56857010928120666</v>
      </c>
    </row>
    <row r="20" spans="2:23" x14ac:dyDescent="0.25">
      <c r="B20" s="123" t="s">
        <v>64</v>
      </c>
      <c r="C20" s="70">
        <v>1061</v>
      </c>
      <c r="D20" s="70">
        <v>0</v>
      </c>
      <c r="E20" s="70">
        <v>649</v>
      </c>
      <c r="F20" s="70">
        <v>1061</v>
      </c>
      <c r="G20" s="70">
        <v>1061</v>
      </c>
      <c r="H20" s="70">
        <v>1061</v>
      </c>
      <c r="I20" s="124">
        <f t="shared" si="0"/>
        <v>0</v>
      </c>
      <c r="J20" s="124" t="str">
        <f t="shared" si="1"/>
        <v>-</v>
      </c>
      <c r="K20" s="70">
        <f t="shared" si="2"/>
        <v>0</v>
      </c>
      <c r="L20" s="70">
        <f t="shared" si="3"/>
        <v>1061</v>
      </c>
      <c r="M20" s="124">
        <f>H20/H17</f>
        <v>0.16503344221496344</v>
      </c>
      <c r="N20" s="70">
        <v>1061</v>
      </c>
      <c r="O20" s="70">
        <v>1061</v>
      </c>
      <c r="P20" s="70">
        <v>1061</v>
      </c>
      <c r="Q20" s="70">
        <v>1061</v>
      </c>
      <c r="R20" s="70">
        <v>1061</v>
      </c>
      <c r="S20" s="124">
        <f t="shared" si="4"/>
        <v>0</v>
      </c>
      <c r="T20" s="124">
        <f t="shared" si="5"/>
        <v>0</v>
      </c>
      <c r="U20" s="70">
        <f t="shared" si="6"/>
        <v>0</v>
      </c>
      <c r="V20" s="70">
        <f t="shared" si="7"/>
        <v>0</v>
      </c>
      <c r="W20" s="124">
        <f>R20/R17</f>
        <v>0.16330614129598275</v>
      </c>
    </row>
    <row r="21" spans="2:23" x14ac:dyDescent="0.25">
      <c r="B21" s="120" t="s">
        <v>65</v>
      </c>
      <c r="C21" s="121">
        <v>2450</v>
      </c>
      <c r="D21" s="121">
        <v>1314</v>
      </c>
      <c r="E21" s="121">
        <v>1571</v>
      </c>
      <c r="F21" s="121">
        <v>1660</v>
      </c>
      <c r="G21" s="121">
        <v>1660</v>
      </c>
      <c r="H21" s="121">
        <v>1674</v>
      </c>
      <c r="I21" s="122">
        <f t="shared" si="0"/>
        <v>8.4337349397589634E-3</v>
      </c>
      <c r="J21" s="122">
        <f t="shared" si="1"/>
        <v>0.27397260273972601</v>
      </c>
      <c r="K21" s="121">
        <f t="shared" si="2"/>
        <v>14</v>
      </c>
      <c r="L21" s="121">
        <f t="shared" si="3"/>
        <v>360</v>
      </c>
      <c r="M21" s="122">
        <f>H21/H17</f>
        <v>0.26038264115725618</v>
      </c>
      <c r="N21" s="121">
        <v>1660</v>
      </c>
      <c r="O21" s="121">
        <v>1660</v>
      </c>
      <c r="P21" s="121">
        <v>1660</v>
      </c>
      <c r="Q21" s="121">
        <v>1660</v>
      </c>
      <c r="R21" s="121">
        <v>1742</v>
      </c>
      <c r="S21" s="122">
        <f t="shared" si="4"/>
        <v>4.9397590361445864E-2</v>
      </c>
      <c r="T21" s="122">
        <f t="shared" si="5"/>
        <v>4.9397590361445864E-2</v>
      </c>
      <c r="U21" s="121">
        <f t="shared" si="6"/>
        <v>82</v>
      </c>
      <c r="V21" s="121">
        <f t="shared" si="7"/>
        <v>82</v>
      </c>
      <c r="W21" s="122">
        <f>R21/R17</f>
        <v>0.26812374942281053</v>
      </c>
    </row>
    <row r="22" spans="2:23" x14ac:dyDescent="0.25">
      <c r="B22" s="117" t="s">
        <v>48</v>
      </c>
      <c r="C22" s="125">
        <v>1127</v>
      </c>
      <c r="D22" s="125">
        <v>437</v>
      </c>
      <c r="E22" s="125">
        <v>669</v>
      </c>
      <c r="F22" s="125">
        <v>857</v>
      </c>
      <c r="G22" s="125">
        <v>900</v>
      </c>
      <c r="H22" s="125">
        <v>900</v>
      </c>
      <c r="I22" s="126">
        <f t="shared" si="0"/>
        <v>0</v>
      </c>
      <c r="J22" s="126">
        <f t="shared" si="1"/>
        <v>1.0594965675057209</v>
      </c>
      <c r="K22" s="125">
        <f t="shared" si="2"/>
        <v>0</v>
      </c>
      <c r="L22" s="125">
        <f t="shared" si="3"/>
        <v>463</v>
      </c>
      <c r="M22" s="126">
        <f>H22/H22</f>
        <v>1</v>
      </c>
      <c r="N22" s="125">
        <v>802</v>
      </c>
      <c r="O22" s="125">
        <v>898</v>
      </c>
      <c r="P22" s="125">
        <v>912</v>
      </c>
      <c r="Q22" s="125">
        <v>916</v>
      </c>
      <c r="R22" s="125">
        <v>905</v>
      </c>
      <c r="S22" s="126">
        <f t="shared" si="4"/>
        <v>-1.2008733624454093E-2</v>
      </c>
      <c r="T22" s="126">
        <f t="shared" si="5"/>
        <v>0.12842892768079794</v>
      </c>
      <c r="U22" s="125">
        <f t="shared" si="6"/>
        <v>-11</v>
      </c>
      <c r="V22" s="125">
        <f t="shared" si="7"/>
        <v>103</v>
      </c>
      <c r="W22" s="126">
        <f>R22/R22</f>
        <v>1</v>
      </c>
    </row>
    <row r="23" spans="2:23" x14ac:dyDescent="0.25">
      <c r="B23" s="120" t="s">
        <v>62</v>
      </c>
      <c r="C23" s="121">
        <v>917</v>
      </c>
      <c r="D23" s="121">
        <v>386</v>
      </c>
      <c r="E23" s="121">
        <v>669</v>
      </c>
      <c r="F23" s="121">
        <v>855</v>
      </c>
      <c r="G23" s="121">
        <v>886</v>
      </c>
      <c r="H23" s="121">
        <v>886</v>
      </c>
      <c r="I23" s="122">
        <f t="shared" si="0"/>
        <v>0</v>
      </c>
      <c r="J23" s="122">
        <f t="shared" si="1"/>
        <v>1.295336787564767</v>
      </c>
      <c r="K23" s="121">
        <f t="shared" si="2"/>
        <v>0</v>
      </c>
      <c r="L23" s="121">
        <f t="shared" si="3"/>
        <v>500</v>
      </c>
      <c r="M23" s="122">
        <f>H23/H22</f>
        <v>0.98444444444444446</v>
      </c>
      <c r="N23" s="121">
        <v>802</v>
      </c>
      <c r="O23" s="121">
        <v>898</v>
      </c>
      <c r="P23" s="121">
        <v>898</v>
      </c>
      <c r="Q23" s="121">
        <v>898</v>
      </c>
      <c r="R23" s="121">
        <v>887</v>
      </c>
      <c r="S23" s="122">
        <f t="shared" si="4"/>
        <v>-1.2249443207126953E-2</v>
      </c>
      <c r="T23" s="122">
        <f t="shared" si="5"/>
        <v>0.10598503740648368</v>
      </c>
      <c r="U23" s="121">
        <f t="shared" si="6"/>
        <v>-11</v>
      </c>
      <c r="V23" s="121">
        <f t="shared" si="7"/>
        <v>85</v>
      </c>
      <c r="W23" s="122">
        <f>R23/R22</f>
        <v>0.98011049723756904</v>
      </c>
    </row>
    <row r="24" spans="2:23" x14ac:dyDescent="0.25">
      <c r="B24" s="120" t="s">
        <v>65</v>
      </c>
      <c r="C24" s="121">
        <v>210</v>
      </c>
      <c r="D24" s="121">
        <v>0</v>
      </c>
      <c r="E24" s="121">
        <v>0</v>
      </c>
      <c r="F24" s="121">
        <v>0</v>
      </c>
      <c r="G24" s="121">
        <v>0</v>
      </c>
      <c r="H24" s="121">
        <v>0</v>
      </c>
      <c r="I24" s="122" t="str">
        <f t="shared" si="0"/>
        <v>-</v>
      </c>
      <c r="J24" s="122" t="str">
        <f t="shared" si="1"/>
        <v>-</v>
      </c>
      <c r="K24" s="121">
        <f t="shared" si="2"/>
        <v>0</v>
      </c>
      <c r="L24" s="121">
        <f t="shared" si="3"/>
        <v>0</v>
      </c>
      <c r="M24" s="122">
        <f>H24/H22</f>
        <v>0</v>
      </c>
      <c r="N24" s="121">
        <v>0</v>
      </c>
      <c r="O24" s="121">
        <v>0</v>
      </c>
      <c r="P24" s="121">
        <v>0</v>
      </c>
      <c r="Q24" s="121">
        <v>0</v>
      </c>
      <c r="R24" s="121">
        <v>0</v>
      </c>
      <c r="S24" s="122" t="str">
        <f t="shared" si="4"/>
        <v>-</v>
      </c>
      <c r="T24" s="122" t="str">
        <f t="shared" si="5"/>
        <v>-</v>
      </c>
      <c r="U24" s="121">
        <f t="shared" si="6"/>
        <v>0</v>
      </c>
      <c r="V24" s="121">
        <f t="shared" si="7"/>
        <v>0</v>
      </c>
      <c r="W24" s="122">
        <f>R24/R22</f>
        <v>0</v>
      </c>
    </row>
    <row r="25" spans="2:23" x14ac:dyDescent="0.25">
      <c r="B25" s="117" t="s">
        <v>49</v>
      </c>
      <c r="C25" s="125">
        <v>4070</v>
      </c>
      <c r="D25" s="125">
        <v>2900</v>
      </c>
      <c r="E25" s="125">
        <v>4012</v>
      </c>
      <c r="F25" s="125">
        <v>4562</v>
      </c>
      <c r="G25" s="125">
        <v>4395</v>
      </c>
      <c r="H25" s="125">
        <v>4427</v>
      </c>
      <c r="I25" s="126">
        <f t="shared" si="0"/>
        <v>7.2810011376565065E-3</v>
      </c>
      <c r="J25" s="126">
        <f t="shared" si="1"/>
        <v>0.52655172413793094</v>
      </c>
      <c r="K25" s="125">
        <f t="shared" si="2"/>
        <v>32</v>
      </c>
      <c r="L25" s="125">
        <f t="shared" si="3"/>
        <v>1527</v>
      </c>
      <c r="M25" s="119">
        <f>H25/H25</f>
        <v>1</v>
      </c>
      <c r="N25" s="125">
        <v>4276</v>
      </c>
      <c r="O25" s="125">
        <v>4562</v>
      </c>
      <c r="P25" s="125">
        <v>4276</v>
      </c>
      <c r="Q25" s="125">
        <v>4306</v>
      </c>
      <c r="R25" s="125">
        <v>4616</v>
      </c>
      <c r="S25" s="126">
        <f t="shared" si="4"/>
        <v>7.199256850905722E-2</v>
      </c>
      <c r="T25" s="126">
        <f t="shared" si="5"/>
        <v>7.9513564078578014E-2</v>
      </c>
      <c r="U25" s="125">
        <f t="shared" si="6"/>
        <v>310</v>
      </c>
      <c r="V25" s="125">
        <f t="shared" si="7"/>
        <v>340</v>
      </c>
      <c r="W25" s="119">
        <f>R25/R25</f>
        <v>1</v>
      </c>
    </row>
    <row r="26" spans="2:23" x14ac:dyDescent="0.25">
      <c r="B26" s="120" t="s">
        <v>62</v>
      </c>
      <c r="C26" s="121">
        <v>4004</v>
      </c>
      <c r="D26" s="121">
        <v>2534</v>
      </c>
      <c r="E26" s="121">
        <v>3312</v>
      </c>
      <c r="F26" s="121">
        <v>3862</v>
      </c>
      <c r="G26" s="121">
        <v>3695</v>
      </c>
      <c r="H26" s="121">
        <v>3727</v>
      </c>
      <c r="I26" s="122">
        <f t="shared" si="0"/>
        <v>8.6603518267929225E-3</v>
      </c>
      <c r="J26" s="122">
        <f t="shared" si="1"/>
        <v>0.47079715864246241</v>
      </c>
      <c r="K26" s="121">
        <f t="shared" si="2"/>
        <v>32</v>
      </c>
      <c r="L26" s="121">
        <f t="shared" si="3"/>
        <v>1193</v>
      </c>
      <c r="M26" s="122">
        <f>H26/H25</f>
        <v>0.8418793765529704</v>
      </c>
      <c r="N26" s="121">
        <v>3576</v>
      </c>
      <c r="O26" s="121">
        <v>3862</v>
      </c>
      <c r="P26" s="121">
        <v>3576</v>
      </c>
      <c r="Q26" s="121">
        <v>3606</v>
      </c>
      <c r="R26" s="121">
        <v>3916</v>
      </c>
      <c r="S26" s="122">
        <f t="shared" si="4"/>
        <v>8.5967831392124161E-2</v>
      </c>
      <c r="T26" s="122">
        <f t="shared" si="5"/>
        <v>9.5078299776286457E-2</v>
      </c>
      <c r="U26" s="121">
        <f t="shared" si="6"/>
        <v>310</v>
      </c>
      <c r="V26" s="121">
        <f t="shared" si="7"/>
        <v>340</v>
      </c>
      <c r="W26" s="122">
        <f>R26/R25</f>
        <v>0.84835355285961866</v>
      </c>
    </row>
    <row r="27" spans="2:23" x14ac:dyDescent="0.25">
      <c r="B27" s="123" t="s">
        <v>63</v>
      </c>
      <c r="C27" s="70">
        <v>3576</v>
      </c>
      <c r="D27" s="70">
        <v>0</v>
      </c>
      <c r="E27" s="70">
        <v>0</v>
      </c>
      <c r="F27" s="70">
        <v>0</v>
      </c>
      <c r="G27" s="70">
        <v>0</v>
      </c>
      <c r="H27" s="70">
        <v>0</v>
      </c>
      <c r="I27" s="124" t="str">
        <f t="shared" si="0"/>
        <v>-</v>
      </c>
      <c r="J27" s="124" t="str">
        <f t="shared" si="1"/>
        <v>-</v>
      </c>
      <c r="K27" s="70">
        <f t="shared" si="2"/>
        <v>0</v>
      </c>
      <c r="L27" s="70">
        <f t="shared" si="3"/>
        <v>0</v>
      </c>
      <c r="M27" s="124">
        <f>H27/H25</f>
        <v>0</v>
      </c>
      <c r="N27" s="70">
        <v>3576</v>
      </c>
      <c r="O27" s="70">
        <v>0</v>
      </c>
      <c r="P27" s="70">
        <v>3576</v>
      </c>
      <c r="Q27" s="70">
        <v>0</v>
      </c>
      <c r="R27" s="70">
        <v>0</v>
      </c>
      <c r="S27" s="124" t="str">
        <f t="shared" si="4"/>
        <v>-</v>
      </c>
      <c r="T27" s="124">
        <f t="shared" si="5"/>
        <v>-1</v>
      </c>
      <c r="U27" s="70">
        <f t="shared" si="6"/>
        <v>0</v>
      </c>
      <c r="V27" s="70">
        <f t="shared" si="7"/>
        <v>-3576</v>
      </c>
      <c r="W27" s="124">
        <f>R27/R25</f>
        <v>0</v>
      </c>
    </row>
    <row r="28" spans="2:23" x14ac:dyDescent="0.25">
      <c r="B28" s="123" t="s">
        <v>64</v>
      </c>
      <c r="C28" s="70">
        <v>428</v>
      </c>
      <c r="D28" s="70">
        <v>0</v>
      </c>
      <c r="E28" s="70">
        <v>0</v>
      </c>
      <c r="F28" s="70">
        <v>0</v>
      </c>
      <c r="G28" s="70">
        <v>0</v>
      </c>
      <c r="H28" s="70">
        <v>0</v>
      </c>
      <c r="I28" s="124" t="str">
        <f t="shared" si="0"/>
        <v>-</v>
      </c>
      <c r="J28" s="124" t="str">
        <f t="shared" si="1"/>
        <v>-</v>
      </c>
      <c r="K28" s="70">
        <f t="shared" si="2"/>
        <v>0</v>
      </c>
      <c r="L28" s="70">
        <f t="shared" si="3"/>
        <v>0</v>
      </c>
      <c r="M28" s="124">
        <f>H28/H25</f>
        <v>0</v>
      </c>
      <c r="N28" s="70">
        <v>0</v>
      </c>
      <c r="O28" s="70">
        <v>0</v>
      </c>
      <c r="P28" s="70">
        <v>0</v>
      </c>
      <c r="Q28" s="70">
        <v>0</v>
      </c>
      <c r="R28" s="70">
        <v>0</v>
      </c>
      <c r="S28" s="124" t="str">
        <f t="shared" si="4"/>
        <v>-</v>
      </c>
      <c r="T28" s="124" t="str">
        <f t="shared" si="5"/>
        <v>-</v>
      </c>
      <c r="U28" s="70">
        <f t="shared" si="6"/>
        <v>0</v>
      </c>
      <c r="V28" s="70">
        <f t="shared" si="7"/>
        <v>0</v>
      </c>
      <c r="W28" s="124">
        <f>R28/R25</f>
        <v>0</v>
      </c>
    </row>
    <row r="29" spans="2:23" x14ac:dyDescent="0.25">
      <c r="B29" s="117" t="s">
        <v>50</v>
      </c>
      <c r="C29" s="125">
        <v>21340</v>
      </c>
      <c r="D29" s="125">
        <v>9244</v>
      </c>
      <c r="E29" s="125">
        <v>11050</v>
      </c>
      <c r="F29" s="125">
        <v>18364</v>
      </c>
      <c r="G29" s="125">
        <v>19209</v>
      </c>
      <c r="H29" s="125">
        <v>20011</v>
      </c>
      <c r="I29" s="126">
        <f t="shared" si="0"/>
        <v>4.175126242906968E-2</v>
      </c>
      <c r="J29" s="126">
        <f t="shared" si="1"/>
        <v>1.1647555170921677</v>
      </c>
      <c r="K29" s="125">
        <f t="shared" si="2"/>
        <v>802</v>
      </c>
      <c r="L29" s="125">
        <f t="shared" si="3"/>
        <v>10767</v>
      </c>
      <c r="M29" s="119">
        <f>H29/H29</f>
        <v>1</v>
      </c>
      <c r="N29" s="125">
        <v>15588</v>
      </c>
      <c r="O29" s="125">
        <v>18073</v>
      </c>
      <c r="P29" s="125">
        <v>19434</v>
      </c>
      <c r="Q29" s="125">
        <v>20174</v>
      </c>
      <c r="R29" s="125">
        <v>20111</v>
      </c>
      <c r="S29" s="126">
        <f t="shared" si="4"/>
        <v>-3.1228313671062269E-3</v>
      </c>
      <c r="T29" s="126">
        <f t="shared" si="5"/>
        <v>0.29015909674108298</v>
      </c>
      <c r="U29" s="125">
        <f t="shared" si="6"/>
        <v>-63</v>
      </c>
      <c r="V29" s="125">
        <f t="shared" si="7"/>
        <v>4523</v>
      </c>
      <c r="W29" s="119">
        <f>R29/R29</f>
        <v>1</v>
      </c>
    </row>
    <row r="30" spans="2:23" x14ac:dyDescent="0.25">
      <c r="B30" s="120" t="s">
        <v>62</v>
      </c>
      <c r="C30" s="121">
        <v>16096</v>
      </c>
      <c r="D30" s="121">
        <v>6499</v>
      </c>
      <c r="E30" s="121">
        <v>8111</v>
      </c>
      <c r="F30" s="121">
        <v>14162</v>
      </c>
      <c r="G30" s="121">
        <v>14862</v>
      </c>
      <c r="H30" s="121">
        <v>15621</v>
      </c>
      <c r="I30" s="122">
        <f t="shared" si="0"/>
        <v>5.106984255147351E-2</v>
      </c>
      <c r="J30" s="122">
        <f t="shared" si="1"/>
        <v>1.4036005539313741</v>
      </c>
      <c r="K30" s="121">
        <f t="shared" si="2"/>
        <v>759</v>
      </c>
      <c r="L30" s="121">
        <f t="shared" si="3"/>
        <v>9122</v>
      </c>
      <c r="M30" s="122">
        <f>H30/H29</f>
        <v>0.78062065863774921</v>
      </c>
      <c r="N30" s="121">
        <v>12255</v>
      </c>
      <c r="O30" s="121">
        <v>13724</v>
      </c>
      <c r="P30" s="121">
        <v>15087</v>
      </c>
      <c r="Q30" s="121">
        <v>15741</v>
      </c>
      <c r="R30" s="121">
        <v>15658</v>
      </c>
      <c r="S30" s="122">
        <f t="shared" si="4"/>
        <v>-5.2728543294581209E-3</v>
      </c>
      <c r="T30" s="122">
        <f t="shared" si="5"/>
        <v>0.27768257853937173</v>
      </c>
      <c r="U30" s="121">
        <f t="shared" si="6"/>
        <v>-83</v>
      </c>
      <c r="V30" s="121">
        <f t="shared" si="7"/>
        <v>3403</v>
      </c>
      <c r="W30" s="122">
        <f>R30/R29</f>
        <v>0.7785788871761723</v>
      </c>
    </row>
    <row r="31" spans="2:23" x14ac:dyDescent="0.25">
      <c r="B31" s="123" t="s">
        <v>63</v>
      </c>
      <c r="C31" s="70">
        <v>12913</v>
      </c>
      <c r="D31" s="70">
        <v>5381</v>
      </c>
      <c r="E31" s="70">
        <v>6550</v>
      </c>
      <c r="F31" s="70">
        <v>12095</v>
      </c>
      <c r="G31" s="70">
        <v>12793</v>
      </c>
      <c r="H31" s="70">
        <v>13518</v>
      </c>
      <c r="I31" s="124">
        <f t="shared" si="0"/>
        <v>5.66716172907058E-2</v>
      </c>
      <c r="J31" s="124">
        <f t="shared" si="1"/>
        <v>1.5121724586508085</v>
      </c>
      <c r="K31" s="70">
        <f t="shared" si="2"/>
        <v>725</v>
      </c>
      <c r="L31" s="70">
        <f t="shared" si="3"/>
        <v>8137</v>
      </c>
      <c r="M31" s="124">
        <f>H31/H29</f>
        <v>0.67552845934735894</v>
      </c>
      <c r="N31" s="70">
        <v>10082</v>
      </c>
      <c r="O31" s="70">
        <v>11819</v>
      </c>
      <c r="P31" s="70">
        <v>12988</v>
      </c>
      <c r="Q31" s="70">
        <v>13638</v>
      </c>
      <c r="R31" s="70">
        <v>13498</v>
      </c>
      <c r="S31" s="124">
        <f t="shared" si="4"/>
        <v>-1.0265434814488938E-2</v>
      </c>
      <c r="T31" s="124">
        <f t="shared" si="5"/>
        <v>0.33882166236857758</v>
      </c>
      <c r="U31" s="70">
        <f t="shared" si="6"/>
        <v>-140</v>
      </c>
      <c r="V31" s="70">
        <f t="shared" si="7"/>
        <v>3416</v>
      </c>
      <c r="W31" s="124">
        <f>R31/R29</f>
        <v>0.67117497886728661</v>
      </c>
    </row>
    <row r="32" spans="2:23" x14ac:dyDescent="0.25">
      <c r="B32" s="123" t="s">
        <v>64</v>
      </c>
      <c r="C32" s="70">
        <v>3183</v>
      </c>
      <c r="D32" s="70">
        <v>1118</v>
      </c>
      <c r="E32" s="70">
        <v>1561</v>
      </c>
      <c r="F32" s="70">
        <v>2067</v>
      </c>
      <c r="G32" s="70">
        <v>2069</v>
      </c>
      <c r="H32" s="70">
        <v>2103</v>
      </c>
      <c r="I32" s="124">
        <f t="shared" si="0"/>
        <v>1.6433059449009191E-2</v>
      </c>
      <c r="J32" s="124">
        <f t="shared" si="1"/>
        <v>0.88103756708407865</v>
      </c>
      <c r="K32" s="70">
        <f t="shared" si="2"/>
        <v>34</v>
      </c>
      <c r="L32" s="70">
        <f t="shared" si="3"/>
        <v>985</v>
      </c>
      <c r="M32" s="124">
        <f>H32/H29</f>
        <v>0.10509219929039028</v>
      </c>
      <c r="N32" s="70">
        <v>2173</v>
      </c>
      <c r="O32" s="70">
        <v>1905</v>
      </c>
      <c r="P32" s="70">
        <v>2099</v>
      </c>
      <c r="Q32" s="70">
        <v>2103</v>
      </c>
      <c r="R32" s="70">
        <v>2160</v>
      </c>
      <c r="S32" s="124">
        <f t="shared" si="4"/>
        <v>2.7104136947218249E-2</v>
      </c>
      <c r="T32" s="124">
        <f t="shared" si="5"/>
        <v>-5.9825126553152419E-3</v>
      </c>
      <c r="U32" s="70">
        <f t="shared" si="6"/>
        <v>57</v>
      </c>
      <c r="V32" s="70">
        <f t="shared" si="7"/>
        <v>-13</v>
      </c>
      <c r="W32" s="124">
        <f>R32/R29</f>
        <v>0.10740390830888569</v>
      </c>
    </row>
    <row r="33" spans="2:23" x14ac:dyDescent="0.25">
      <c r="B33" s="120" t="s">
        <v>65</v>
      </c>
      <c r="C33" s="121">
        <v>5245</v>
      </c>
      <c r="D33" s="121">
        <v>2745</v>
      </c>
      <c r="E33" s="121">
        <v>2940</v>
      </c>
      <c r="F33" s="121">
        <v>4202</v>
      </c>
      <c r="G33" s="121">
        <v>4347</v>
      </c>
      <c r="H33" s="121">
        <v>4390</v>
      </c>
      <c r="I33" s="122">
        <f t="shared" si="0"/>
        <v>9.8918794570967972E-3</v>
      </c>
      <c r="J33" s="122">
        <f t="shared" si="1"/>
        <v>0.59927140255009115</v>
      </c>
      <c r="K33" s="121">
        <f t="shared" si="2"/>
        <v>43</v>
      </c>
      <c r="L33" s="121">
        <f t="shared" si="3"/>
        <v>1645</v>
      </c>
      <c r="M33" s="122">
        <f>H33/H29</f>
        <v>0.21937934136225076</v>
      </c>
      <c r="N33" s="121">
        <v>3333</v>
      </c>
      <c r="O33" s="121">
        <v>4349</v>
      </c>
      <c r="P33" s="121">
        <v>4347</v>
      </c>
      <c r="Q33" s="121">
        <v>4433</v>
      </c>
      <c r="R33" s="121">
        <v>4453</v>
      </c>
      <c r="S33" s="122">
        <f t="shared" si="4"/>
        <v>4.5116174148431831E-3</v>
      </c>
      <c r="T33" s="122">
        <f t="shared" si="5"/>
        <v>0.33603360336033594</v>
      </c>
      <c r="U33" s="121">
        <f t="shared" si="6"/>
        <v>20</v>
      </c>
      <c r="V33" s="121">
        <f t="shared" si="7"/>
        <v>1120</v>
      </c>
      <c r="W33" s="122">
        <f>R33/R29</f>
        <v>0.22142111282382776</v>
      </c>
    </row>
    <row r="34" spans="2:23" x14ac:dyDescent="0.25">
      <c r="B34" s="117" t="s">
        <v>51</v>
      </c>
      <c r="C34" s="125">
        <v>713</v>
      </c>
      <c r="D34" s="125">
        <v>339</v>
      </c>
      <c r="E34" s="125">
        <v>532</v>
      </c>
      <c r="F34" s="125">
        <v>654</v>
      </c>
      <c r="G34" s="125">
        <v>663</v>
      </c>
      <c r="H34" s="125">
        <v>673</v>
      </c>
      <c r="I34" s="126">
        <f t="shared" si="0"/>
        <v>1.5082956259426794E-2</v>
      </c>
      <c r="J34" s="126">
        <f t="shared" si="1"/>
        <v>0.98525073746312675</v>
      </c>
      <c r="K34" s="125">
        <f t="shared" si="2"/>
        <v>10</v>
      </c>
      <c r="L34" s="125">
        <f t="shared" si="3"/>
        <v>334</v>
      </c>
      <c r="M34" s="119">
        <f>H34/H34</f>
        <v>1</v>
      </c>
      <c r="N34" s="125">
        <v>625</v>
      </c>
      <c r="O34" s="125">
        <v>663</v>
      </c>
      <c r="P34" s="125">
        <v>663</v>
      </c>
      <c r="Q34" s="125">
        <v>673</v>
      </c>
      <c r="R34" s="125">
        <v>673</v>
      </c>
      <c r="S34" s="126">
        <f t="shared" si="4"/>
        <v>0</v>
      </c>
      <c r="T34" s="126">
        <f t="shared" si="5"/>
        <v>7.6799999999999979E-2</v>
      </c>
      <c r="U34" s="125">
        <f t="shared" si="6"/>
        <v>0</v>
      </c>
      <c r="V34" s="125">
        <f t="shared" si="7"/>
        <v>48</v>
      </c>
      <c r="W34" s="119">
        <f>R34/R34</f>
        <v>1</v>
      </c>
    </row>
    <row r="35" spans="2:23" x14ac:dyDescent="0.25">
      <c r="B35" s="120" t="s">
        <v>62</v>
      </c>
      <c r="C35" s="121">
        <v>713</v>
      </c>
      <c r="D35" s="121">
        <v>339</v>
      </c>
      <c r="E35" s="121">
        <v>532</v>
      </c>
      <c r="F35" s="121">
        <v>654</v>
      </c>
      <c r="G35" s="121">
        <v>663</v>
      </c>
      <c r="H35" s="121">
        <v>673</v>
      </c>
      <c r="I35" s="122">
        <f t="shared" si="0"/>
        <v>1.5082956259426794E-2</v>
      </c>
      <c r="J35" s="122">
        <f t="shared" si="1"/>
        <v>0.98525073746312675</v>
      </c>
      <c r="K35" s="121">
        <f t="shared" si="2"/>
        <v>10</v>
      </c>
      <c r="L35" s="121">
        <f t="shared" si="3"/>
        <v>334</v>
      </c>
      <c r="M35" s="122">
        <f>H35/H34</f>
        <v>1</v>
      </c>
      <c r="N35" s="121">
        <v>625</v>
      </c>
      <c r="O35" s="121">
        <v>663</v>
      </c>
      <c r="P35" s="121">
        <v>663</v>
      </c>
      <c r="Q35" s="121">
        <v>673</v>
      </c>
      <c r="R35" s="121">
        <v>673</v>
      </c>
      <c r="S35" s="122">
        <f t="shared" si="4"/>
        <v>0</v>
      </c>
      <c r="T35" s="122">
        <f t="shared" si="5"/>
        <v>7.6799999999999979E-2</v>
      </c>
      <c r="U35" s="121">
        <f t="shared" si="6"/>
        <v>0</v>
      </c>
      <c r="V35" s="121">
        <f t="shared" si="7"/>
        <v>48</v>
      </c>
      <c r="W35" s="122">
        <f>R35/R34</f>
        <v>1</v>
      </c>
    </row>
    <row r="36" spans="2:23" x14ac:dyDescent="0.25">
      <c r="B36" s="117" t="s">
        <v>52</v>
      </c>
      <c r="C36" s="125">
        <v>4124</v>
      </c>
      <c r="D36" s="125">
        <v>2132</v>
      </c>
      <c r="E36" s="125">
        <v>2908</v>
      </c>
      <c r="F36" s="125">
        <v>4497</v>
      </c>
      <c r="G36" s="125">
        <v>4790</v>
      </c>
      <c r="H36" s="125">
        <v>4797</v>
      </c>
      <c r="I36" s="126">
        <f t="shared" si="0"/>
        <v>1.4613778705636626E-3</v>
      </c>
      <c r="J36" s="126">
        <f t="shared" si="1"/>
        <v>1.25</v>
      </c>
      <c r="K36" s="125">
        <f t="shared" si="2"/>
        <v>7</v>
      </c>
      <c r="L36" s="125">
        <f t="shared" si="3"/>
        <v>2665</v>
      </c>
      <c r="M36" s="126">
        <f>H36/H36</f>
        <v>1</v>
      </c>
      <c r="N36" s="125">
        <v>3470</v>
      </c>
      <c r="O36" s="125">
        <v>4791</v>
      </c>
      <c r="P36" s="125">
        <v>4791</v>
      </c>
      <c r="Q36" s="125">
        <v>4797</v>
      </c>
      <c r="R36" s="125">
        <v>4635</v>
      </c>
      <c r="S36" s="126">
        <f t="shared" si="4"/>
        <v>-3.3771106941838602E-2</v>
      </c>
      <c r="T36" s="126">
        <f t="shared" si="5"/>
        <v>0.33573487031700289</v>
      </c>
      <c r="U36" s="125">
        <f t="shared" si="6"/>
        <v>-162</v>
      </c>
      <c r="V36" s="125">
        <f t="shared" si="7"/>
        <v>1165</v>
      </c>
      <c r="W36" s="126">
        <f>R36/R36</f>
        <v>1</v>
      </c>
    </row>
    <row r="37" spans="2:23" x14ac:dyDescent="0.25">
      <c r="B37" s="120" t="s">
        <v>62</v>
      </c>
      <c r="C37" s="121">
        <v>1801</v>
      </c>
      <c r="D37" s="121">
        <v>1559</v>
      </c>
      <c r="E37" s="121">
        <v>2545</v>
      </c>
      <c r="F37" s="121">
        <v>3640</v>
      </c>
      <c r="G37" s="121">
        <v>3915</v>
      </c>
      <c r="H37" s="121">
        <v>3915</v>
      </c>
      <c r="I37" s="122">
        <f t="shared" si="0"/>
        <v>0</v>
      </c>
      <c r="J37" s="122">
        <f t="shared" si="1"/>
        <v>1.511225144323284</v>
      </c>
      <c r="K37" s="121">
        <f t="shared" si="2"/>
        <v>0</v>
      </c>
      <c r="L37" s="121">
        <f t="shared" si="3"/>
        <v>2356</v>
      </c>
      <c r="M37" s="122">
        <f>H37/H36</f>
        <v>0.81613508442776739</v>
      </c>
      <c r="N37" s="121">
        <v>2930</v>
      </c>
      <c r="O37" s="121">
        <v>3915</v>
      </c>
      <c r="P37" s="121">
        <v>3915</v>
      </c>
      <c r="Q37" s="121">
        <v>3915</v>
      </c>
      <c r="R37" s="121">
        <v>3753</v>
      </c>
      <c r="S37" s="122">
        <f t="shared" si="4"/>
        <v>-4.1379310344827558E-2</v>
      </c>
      <c r="T37" s="122">
        <f t="shared" si="5"/>
        <v>0.28088737201365177</v>
      </c>
      <c r="U37" s="121">
        <f t="shared" si="6"/>
        <v>-162</v>
      </c>
      <c r="V37" s="121">
        <f t="shared" si="7"/>
        <v>823</v>
      </c>
      <c r="W37" s="122">
        <f>R37/R36</f>
        <v>0.80970873786407771</v>
      </c>
    </row>
    <row r="38" spans="2:23" x14ac:dyDescent="0.25">
      <c r="B38" s="120" t="s">
        <v>65</v>
      </c>
      <c r="C38" s="121">
        <v>2323</v>
      </c>
      <c r="D38" s="121">
        <v>573</v>
      </c>
      <c r="E38" s="121">
        <v>363</v>
      </c>
      <c r="F38" s="121">
        <v>857</v>
      </c>
      <c r="G38" s="121">
        <v>875</v>
      </c>
      <c r="H38" s="121">
        <v>882</v>
      </c>
      <c r="I38" s="122">
        <f t="shared" si="0"/>
        <v>8.0000000000000071E-3</v>
      </c>
      <c r="J38" s="122">
        <f t="shared" si="1"/>
        <v>0.53926701570680624</v>
      </c>
      <c r="K38" s="121">
        <f t="shared" si="2"/>
        <v>7</v>
      </c>
      <c r="L38" s="121">
        <f t="shared" si="3"/>
        <v>309</v>
      </c>
      <c r="M38" s="122">
        <f>H38/H36</f>
        <v>0.18386491557223264</v>
      </c>
      <c r="N38" s="121">
        <v>540</v>
      </c>
      <c r="O38" s="121">
        <v>876</v>
      </c>
      <c r="P38" s="121">
        <v>876</v>
      </c>
      <c r="Q38" s="121">
        <v>882</v>
      </c>
      <c r="R38" s="121">
        <v>882</v>
      </c>
      <c r="S38" s="122">
        <f t="shared" si="4"/>
        <v>0</v>
      </c>
      <c r="T38" s="122">
        <f t="shared" si="5"/>
        <v>0.6333333333333333</v>
      </c>
      <c r="U38" s="121">
        <f t="shared" si="6"/>
        <v>0</v>
      </c>
      <c r="V38" s="121">
        <f t="shared" si="7"/>
        <v>342</v>
      </c>
      <c r="W38" s="122">
        <f>R38/R36</f>
        <v>0.19029126213592232</v>
      </c>
    </row>
    <row r="39" spans="2:23" x14ac:dyDescent="0.25">
      <c r="B39" s="117" t="s">
        <v>53</v>
      </c>
      <c r="C39" s="125">
        <v>2690</v>
      </c>
      <c r="D39" s="125">
        <v>1526</v>
      </c>
      <c r="E39" s="125">
        <v>2270</v>
      </c>
      <c r="F39" s="125">
        <v>2680</v>
      </c>
      <c r="G39" s="125">
        <v>2774</v>
      </c>
      <c r="H39" s="125">
        <v>2714</v>
      </c>
      <c r="I39" s="126">
        <f t="shared" si="0"/>
        <v>-2.1629416005767843E-2</v>
      </c>
      <c r="J39" s="126">
        <f t="shared" si="1"/>
        <v>0.77850589777195278</v>
      </c>
      <c r="K39" s="125">
        <f t="shared" si="2"/>
        <v>-60</v>
      </c>
      <c r="L39" s="125">
        <f t="shared" si="3"/>
        <v>1188</v>
      </c>
      <c r="M39" s="119">
        <f>H39/H39</f>
        <v>1</v>
      </c>
      <c r="N39" s="125">
        <v>2485</v>
      </c>
      <c r="O39" s="125">
        <v>2826</v>
      </c>
      <c r="P39" s="125">
        <v>2750</v>
      </c>
      <c r="Q39" s="125">
        <v>2507</v>
      </c>
      <c r="R39" s="125">
        <v>2791</v>
      </c>
      <c r="S39" s="126">
        <f t="shared" si="4"/>
        <v>0.1132828081372157</v>
      </c>
      <c r="T39" s="126">
        <f t="shared" si="5"/>
        <v>0.12313883299798789</v>
      </c>
      <c r="U39" s="125">
        <f t="shared" si="6"/>
        <v>284</v>
      </c>
      <c r="V39" s="125">
        <f t="shared" si="7"/>
        <v>306</v>
      </c>
      <c r="W39" s="119">
        <f>R39/R39</f>
        <v>1</v>
      </c>
    </row>
    <row r="40" spans="2:23" x14ac:dyDescent="0.25">
      <c r="B40" s="120" t="s">
        <v>62</v>
      </c>
      <c r="C40" s="121">
        <v>2690</v>
      </c>
      <c r="D40" s="121">
        <v>1526</v>
      </c>
      <c r="E40" s="121">
        <v>2270</v>
      </c>
      <c r="F40" s="121">
        <v>2680</v>
      </c>
      <c r="G40" s="121">
        <v>2774</v>
      </c>
      <c r="H40" s="121">
        <v>2714</v>
      </c>
      <c r="I40" s="122">
        <f t="shared" si="0"/>
        <v>-2.1629416005767843E-2</v>
      </c>
      <c r="J40" s="122">
        <f t="shared" si="1"/>
        <v>0.77850589777195278</v>
      </c>
      <c r="K40" s="121">
        <f t="shared" si="2"/>
        <v>-60</v>
      </c>
      <c r="L40" s="121">
        <f t="shared" si="3"/>
        <v>1188</v>
      </c>
      <c r="M40" s="122">
        <f>H40/H39</f>
        <v>1</v>
      </c>
      <c r="N40" s="121">
        <v>2485</v>
      </c>
      <c r="O40" s="121">
        <v>2826</v>
      </c>
      <c r="P40" s="121">
        <v>2750</v>
      </c>
      <c r="Q40" s="121">
        <v>2507</v>
      </c>
      <c r="R40" s="121">
        <v>2791</v>
      </c>
      <c r="S40" s="122">
        <f t="shared" si="4"/>
        <v>0.1132828081372157</v>
      </c>
      <c r="T40" s="122">
        <f t="shared" si="5"/>
        <v>0.12313883299798789</v>
      </c>
      <c r="U40" s="121">
        <f t="shared" si="6"/>
        <v>284</v>
      </c>
      <c r="V40" s="121">
        <f t="shared" si="7"/>
        <v>306</v>
      </c>
      <c r="W40" s="122">
        <f>R40/R39</f>
        <v>1</v>
      </c>
    </row>
    <row r="41" spans="2:23" x14ac:dyDescent="0.25">
      <c r="B41" s="123" t="s">
        <v>63</v>
      </c>
      <c r="C41" s="70">
        <v>1381</v>
      </c>
      <c r="D41" s="70">
        <v>846</v>
      </c>
      <c r="E41" s="70">
        <v>1514</v>
      </c>
      <c r="F41" s="70">
        <v>1660</v>
      </c>
      <c r="G41" s="70">
        <v>1674</v>
      </c>
      <c r="H41" s="70">
        <v>1711</v>
      </c>
      <c r="I41" s="124">
        <f t="shared" si="0"/>
        <v>2.2102747909199527E-2</v>
      </c>
      <c r="J41" s="124">
        <f t="shared" si="1"/>
        <v>1.0224586288416075</v>
      </c>
      <c r="K41" s="70">
        <f t="shared" si="2"/>
        <v>37</v>
      </c>
      <c r="L41" s="70">
        <f t="shared" si="3"/>
        <v>865</v>
      </c>
      <c r="M41" s="124">
        <f>H41/H39</f>
        <v>0.63043478260869568</v>
      </c>
      <c r="N41" s="70">
        <v>1658</v>
      </c>
      <c r="O41" s="70">
        <v>1674</v>
      </c>
      <c r="P41" s="70">
        <v>1674</v>
      </c>
      <c r="Q41" s="70">
        <v>1681</v>
      </c>
      <c r="R41" s="70">
        <v>1847</v>
      </c>
      <c r="S41" s="124">
        <f t="shared" si="4"/>
        <v>9.8750743604997027E-2</v>
      </c>
      <c r="T41" s="124">
        <f t="shared" si="5"/>
        <v>0.11399276236429423</v>
      </c>
      <c r="U41" s="70">
        <f t="shared" si="6"/>
        <v>166</v>
      </c>
      <c r="V41" s="70">
        <f t="shared" si="7"/>
        <v>189</v>
      </c>
      <c r="W41" s="124">
        <f>R41/R39</f>
        <v>0.66176997491938372</v>
      </c>
    </row>
    <row r="42" spans="2:23" x14ac:dyDescent="0.25">
      <c r="B42" s="123" t="s">
        <v>64</v>
      </c>
      <c r="C42" s="70">
        <v>1309</v>
      </c>
      <c r="D42" s="70">
        <v>680</v>
      </c>
      <c r="E42" s="70">
        <v>756</v>
      </c>
      <c r="F42" s="70">
        <v>1020</v>
      </c>
      <c r="G42" s="70">
        <v>1100</v>
      </c>
      <c r="H42" s="70">
        <v>1003</v>
      </c>
      <c r="I42" s="124">
        <f t="shared" si="0"/>
        <v>-8.8181818181818139E-2</v>
      </c>
      <c r="J42" s="124">
        <f t="shared" si="1"/>
        <v>0.47500000000000009</v>
      </c>
      <c r="K42" s="70">
        <f t="shared" si="2"/>
        <v>-97</v>
      </c>
      <c r="L42" s="70">
        <f t="shared" si="3"/>
        <v>323</v>
      </c>
      <c r="M42" s="124">
        <f>H42/H39</f>
        <v>0.36956521739130432</v>
      </c>
      <c r="N42" s="70">
        <v>827</v>
      </c>
      <c r="O42" s="70">
        <v>1152</v>
      </c>
      <c r="P42" s="70">
        <v>1076</v>
      </c>
      <c r="Q42" s="70">
        <v>826</v>
      </c>
      <c r="R42" s="70">
        <v>944</v>
      </c>
      <c r="S42" s="124">
        <f t="shared" si="4"/>
        <v>0.14285714285714279</v>
      </c>
      <c r="T42" s="124">
        <f t="shared" si="5"/>
        <v>0.14147521160822252</v>
      </c>
      <c r="U42" s="70">
        <f t="shared" si="6"/>
        <v>118</v>
      </c>
      <c r="V42" s="70">
        <f t="shared" si="7"/>
        <v>117</v>
      </c>
      <c r="W42" s="124">
        <f>R42/R39</f>
        <v>0.33823002508061628</v>
      </c>
    </row>
    <row r="43" spans="2:23" x14ac:dyDescent="0.25">
      <c r="B43" s="117" t="s">
        <v>54</v>
      </c>
      <c r="C43" s="125">
        <v>6890</v>
      </c>
      <c r="D43" s="125">
        <v>3786</v>
      </c>
      <c r="E43" s="125">
        <v>4393</v>
      </c>
      <c r="F43" s="125">
        <v>6413</v>
      </c>
      <c r="G43" s="125">
        <v>6356</v>
      </c>
      <c r="H43" s="125">
        <v>6429</v>
      </c>
      <c r="I43" s="126">
        <f t="shared" si="0"/>
        <v>1.1485210824417891E-2</v>
      </c>
      <c r="J43" s="126">
        <f t="shared" si="1"/>
        <v>0.69809825673534065</v>
      </c>
      <c r="K43" s="125">
        <f t="shared" si="2"/>
        <v>73</v>
      </c>
      <c r="L43" s="125">
        <f t="shared" si="3"/>
        <v>2643</v>
      </c>
      <c r="M43" s="119">
        <f>H43/H43</f>
        <v>1</v>
      </c>
      <c r="N43" s="125">
        <v>5411</v>
      </c>
      <c r="O43" s="125">
        <v>6415</v>
      </c>
      <c r="P43" s="125">
        <v>6415</v>
      </c>
      <c r="Q43" s="125">
        <v>6415</v>
      </c>
      <c r="R43" s="125">
        <v>6497</v>
      </c>
      <c r="S43" s="126">
        <f t="shared" si="4"/>
        <v>1.278254091971931E-2</v>
      </c>
      <c r="T43" s="126">
        <f t="shared" si="5"/>
        <v>0.2007022731472925</v>
      </c>
      <c r="U43" s="125">
        <f t="shared" si="6"/>
        <v>82</v>
      </c>
      <c r="V43" s="125">
        <f t="shared" si="7"/>
        <v>1086</v>
      </c>
      <c r="W43" s="119">
        <f>R43/R43</f>
        <v>1</v>
      </c>
    </row>
    <row r="44" spans="2:23" x14ac:dyDescent="0.25">
      <c r="B44" s="120" t="s">
        <v>62</v>
      </c>
      <c r="C44" s="121">
        <v>4440</v>
      </c>
      <c r="D44" s="121">
        <v>2472</v>
      </c>
      <c r="E44" s="121">
        <v>2822</v>
      </c>
      <c r="F44" s="121">
        <v>4753</v>
      </c>
      <c r="G44" s="121">
        <v>4696</v>
      </c>
      <c r="H44" s="121">
        <v>4755</v>
      </c>
      <c r="I44" s="122">
        <f t="shared" si="0"/>
        <v>1.2563884156729044E-2</v>
      </c>
      <c r="J44" s="122">
        <f t="shared" si="1"/>
        <v>0.92354368932038833</v>
      </c>
      <c r="K44" s="121">
        <f t="shared" si="2"/>
        <v>59</v>
      </c>
      <c r="L44" s="121">
        <f t="shared" si="3"/>
        <v>2283</v>
      </c>
      <c r="M44" s="122">
        <f>H44/H43</f>
        <v>0.73961735884274382</v>
      </c>
      <c r="N44" s="121">
        <v>3751</v>
      </c>
      <c r="O44" s="121">
        <v>4755</v>
      </c>
      <c r="P44" s="121">
        <v>4755</v>
      </c>
      <c r="Q44" s="121">
        <v>4755</v>
      </c>
      <c r="R44" s="121">
        <v>4755</v>
      </c>
      <c r="S44" s="122">
        <f t="shared" si="4"/>
        <v>0</v>
      </c>
      <c r="T44" s="122">
        <f t="shared" si="5"/>
        <v>0.26766195681151683</v>
      </c>
      <c r="U44" s="121">
        <f t="shared" si="6"/>
        <v>0</v>
      </c>
      <c r="V44" s="121">
        <f t="shared" si="7"/>
        <v>1004</v>
      </c>
      <c r="W44" s="122">
        <f>R44/R43</f>
        <v>0.73187625057718952</v>
      </c>
    </row>
    <row r="45" spans="2:23" x14ac:dyDescent="0.25">
      <c r="B45" s="123" t="s">
        <v>63</v>
      </c>
      <c r="C45" s="70">
        <v>3379</v>
      </c>
      <c r="D45" s="70">
        <v>0</v>
      </c>
      <c r="E45" s="70">
        <v>2173</v>
      </c>
      <c r="F45" s="70">
        <v>3692</v>
      </c>
      <c r="G45" s="70">
        <v>3635</v>
      </c>
      <c r="H45" s="70">
        <v>3694</v>
      </c>
      <c r="I45" s="124">
        <f t="shared" si="0"/>
        <v>1.6231086657496618E-2</v>
      </c>
      <c r="J45" s="124" t="str">
        <f t="shared" si="1"/>
        <v>-</v>
      </c>
      <c r="K45" s="70">
        <f t="shared" si="2"/>
        <v>59</v>
      </c>
      <c r="L45" s="70">
        <f t="shared" si="3"/>
        <v>3694</v>
      </c>
      <c r="M45" s="124">
        <f>H45/H43</f>
        <v>0.57458391662778041</v>
      </c>
      <c r="N45" s="70">
        <v>2690</v>
      </c>
      <c r="O45" s="70">
        <v>3694</v>
      </c>
      <c r="P45" s="70">
        <v>3694</v>
      </c>
      <c r="Q45" s="70">
        <v>3694</v>
      </c>
      <c r="R45" s="70">
        <v>3694</v>
      </c>
      <c r="S45" s="124">
        <f t="shared" si="4"/>
        <v>0</v>
      </c>
      <c r="T45" s="124">
        <f t="shared" si="5"/>
        <v>0.37323420074349434</v>
      </c>
      <c r="U45" s="70">
        <f t="shared" si="6"/>
        <v>0</v>
      </c>
      <c r="V45" s="70">
        <f t="shared" si="7"/>
        <v>1004</v>
      </c>
      <c r="W45" s="124">
        <f>R45/R43</f>
        <v>0.56857010928120666</v>
      </c>
    </row>
    <row r="46" spans="2:23" x14ac:dyDescent="0.25">
      <c r="B46" s="123" t="s">
        <v>64</v>
      </c>
      <c r="C46" s="70">
        <v>1061</v>
      </c>
      <c r="D46" s="70">
        <v>0</v>
      </c>
      <c r="E46" s="70">
        <v>649</v>
      </c>
      <c r="F46" s="70">
        <v>1061</v>
      </c>
      <c r="G46" s="70">
        <v>1061</v>
      </c>
      <c r="H46" s="70">
        <v>1061</v>
      </c>
      <c r="I46" s="124">
        <f t="shared" si="0"/>
        <v>0</v>
      </c>
      <c r="J46" s="124" t="str">
        <f t="shared" si="1"/>
        <v>-</v>
      </c>
      <c r="K46" s="70">
        <f t="shared" si="2"/>
        <v>0</v>
      </c>
      <c r="L46" s="70">
        <f t="shared" si="3"/>
        <v>1061</v>
      </c>
      <c r="M46" s="124">
        <f>H46/H43</f>
        <v>0.16503344221496344</v>
      </c>
      <c r="N46" s="70">
        <v>1061</v>
      </c>
      <c r="O46" s="70">
        <v>1061</v>
      </c>
      <c r="P46" s="70">
        <v>1061</v>
      </c>
      <c r="Q46" s="70">
        <v>1061</v>
      </c>
      <c r="R46" s="70">
        <v>1061</v>
      </c>
      <c r="S46" s="124">
        <f t="shared" si="4"/>
        <v>0</v>
      </c>
      <c r="T46" s="124">
        <f t="shared" si="5"/>
        <v>0</v>
      </c>
      <c r="U46" s="70">
        <f t="shared" si="6"/>
        <v>0</v>
      </c>
      <c r="V46" s="70">
        <f t="shared" si="7"/>
        <v>0</v>
      </c>
      <c r="W46" s="124">
        <f>R46/R43</f>
        <v>0.16330614129598275</v>
      </c>
    </row>
    <row r="47" spans="2:23" x14ac:dyDescent="0.25">
      <c r="B47" s="120" t="s">
        <v>65</v>
      </c>
      <c r="C47" s="121">
        <v>2450</v>
      </c>
      <c r="D47" s="121">
        <v>1314</v>
      </c>
      <c r="E47" s="121">
        <v>1571</v>
      </c>
      <c r="F47" s="121">
        <v>1660</v>
      </c>
      <c r="G47" s="121">
        <v>1660</v>
      </c>
      <c r="H47" s="121">
        <v>1674</v>
      </c>
      <c r="I47" s="122">
        <f t="shared" si="0"/>
        <v>8.4337349397589634E-3</v>
      </c>
      <c r="J47" s="122">
        <f t="shared" si="1"/>
        <v>0.27397260273972601</v>
      </c>
      <c r="K47" s="121">
        <f t="shared" si="2"/>
        <v>14</v>
      </c>
      <c r="L47" s="121">
        <f t="shared" si="3"/>
        <v>360</v>
      </c>
      <c r="M47" s="122">
        <f>H47/H43</f>
        <v>0.26038264115725618</v>
      </c>
      <c r="N47" s="121">
        <v>1660</v>
      </c>
      <c r="O47" s="121">
        <v>1660</v>
      </c>
      <c r="P47" s="121">
        <v>1660</v>
      </c>
      <c r="Q47" s="121">
        <v>1660</v>
      </c>
      <c r="R47" s="121">
        <v>1742</v>
      </c>
      <c r="S47" s="122">
        <f t="shared" si="4"/>
        <v>4.9397590361445864E-2</v>
      </c>
      <c r="T47" s="122">
        <f t="shared" si="5"/>
        <v>4.9397590361445864E-2</v>
      </c>
      <c r="U47" s="121">
        <f t="shared" si="6"/>
        <v>82</v>
      </c>
      <c r="V47" s="121">
        <f t="shared" si="7"/>
        <v>82</v>
      </c>
      <c r="W47" s="122">
        <f>R47/R43</f>
        <v>0.26812374942281053</v>
      </c>
    </row>
    <row r="48" spans="2:23" x14ac:dyDescent="0.25">
      <c r="B48" s="117" t="s">
        <v>55</v>
      </c>
      <c r="C48" s="125">
        <v>3382</v>
      </c>
      <c r="D48" s="125">
        <v>2158</v>
      </c>
      <c r="E48" s="125">
        <v>2862</v>
      </c>
      <c r="F48" s="125">
        <v>3212</v>
      </c>
      <c r="G48" s="125">
        <v>3072</v>
      </c>
      <c r="H48" s="125">
        <v>3096</v>
      </c>
      <c r="I48" s="126">
        <f t="shared" si="0"/>
        <v>7.8125E-3</v>
      </c>
      <c r="J48" s="126">
        <f t="shared" si="1"/>
        <v>0.43466172381835033</v>
      </c>
      <c r="K48" s="125">
        <f t="shared" si="2"/>
        <v>24</v>
      </c>
      <c r="L48" s="125">
        <f t="shared" si="3"/>
        <v>938</v>
      </c>
      <c r="M48" s="119">
        <f>H48/H48</f>
        <v>1</v>
      </c>
      <c r="N48" s="125">
        <v>2781</v>
      </c>
      <c r="O48" s="125">
        <v>3081</v>
      </c>
      <c r="P48" s="125">
        <v>3058</v>
      </c>
      <c r="Q48" s="125">
        <v>3113</v>
      </c>
      <c r="R48" s="125">
        <v>3113</v>
      </c>
      <c r="S48" s="126">
        <f t="shared" si="4"/>
        <v>0</v>
      </c>
      <c r="T48" s="126">
        <f t="shared" si="5"/>
        <v>0.11938151743976988</v>
      </c>
      <c r="U48" s="125">
        <f t="shared" si="6"/>
        <v>0</v>
      </c>
      <c r="V48" s="125">
        <f t="shared" si="7"/>
        <v>332</v>
      </c>
      <c r="W48" s="119">
        <f>R48/R48</f>
        <v>1</v>
      </c>
    </row>
    <row r="49" spans="2:23" x14ac:dyDescent="0.25">
      <c r="B49" s="120" t="s">
        <v>62</v>
      </c>
      <c r="C49" s="121">
        <v>3115</v>
      </c>
      <c r="D49" s="121">
        <v>2065</v>
      </c>
      <c r="E49" s="121">
        <v>2789</v>
      </c>
      <c r="F49" s="121">
        <v>3008</v>
      </c>
      <c r="G49" s="121">
        <v>2663</v>
      </c>
      <c r="H49" s="121">
        <v>2710</v>
      </c>
      <c r="I49" s="122">
        <f t="shared" si="0"/>
        <v>1.764926774314679E-2</v>
      </c>
      <c r="J49" s="122">
        <f t="shared" si="1"/>
        <v>0.3123486682808716</v>
      </c>
      <c r="K49" s="121">
        <f t="shared" si="2"/>
        <v>47</v>
      </c>
      <c r="L49" s="121">
        <f t="shared" si="3"/>
        <v>645</v>
      </c>
      <c r="M49" s="122">
        <f>H49/H48</f>
        <v>0.87532299741602071</v>
      </c>
      <c r="N49" s="121">
        <v>2751</v>
      </c>
      <c r="O49" s="121">
        <v>2877</v>
      </c>
      <c r="P49" s="121">
        <v>2644</v>
      </c>
      <c r="Q49" s="121">
        <v>2725</v>
      </c>
      <c r="R49" s="121">
        <v>2725</v>
      </c>
      <c r="S49" s="122">
        <f t="shared" si="4"/>
        <v>0</v>
      </c>
      <c r="T49" s="122">
        <f t="shared" si="5"/>
        <v>-9.4511086877498984E-3</v>
      </c>
      <c r="U49" s="121">
        <f t="shared" si="6"/>
        <v>0</v>
      </c>
      <c r="V49" s="121">
        <f t="shared" si="7"/>
        <v>-26</v>
      </c>
      <c r="W49" s="122">
        <f>R49/R48</f>
        <v>0.87536138772887895</v>
      </c>
    </row>
    <row r="50" spans="2:23" x14ac:dyDescent="0.25">
      <c r="B50" s="123" t="s">
        <v>63</v>
      </c>
      <c r="C50" s="70">
        <v>2465</v>
      </c>
      <c r="D50" s="70">
        <v>1643</v>
      </c>
      <c r="E50" s="70">
        <v>2193</v>
      </c>
      <c r="F50" s="70">
        <v>2189</v>
      </c>
      <c r="G50" s="70">
        <v>2050</v>
      </c>
      <c r="H50" s="70">
        <v>2053</v>
      </c>
      <c r="I50" s="124">
        <f t="shared" si="0"/>
        <v>1.4634146341463428E-3</v>
      </c>
      <c r="J50" s="124">
        <f t="shared" si="1"/>
        <v>0.24954351795496055</v>
      </c>
      <c r="K50" s="70">
        <f t="shared" si="2"/>
        <v>3</v>
      </c>
      <c r="L50" s="70">
        <f t="shared" si="3"/>
        <v>410</v>
      </c>
      <c r="M50" s="124">
        <f>H50/H48</f>
        <v>0.66311369509043927</v>
      </c>
      <c r="N50" s="70">
        <v>2165</v>
      </c>
      <c r="O50" s="70">
        <v>2053</v>
      </c>
      <c r="P50" s="70">
        <v>2053</v>
      </c>
      <c r="Q50" s="70">
        <v>2053</v>
      </c>
      <c r="R50" s="70">
        <v>2053</v>
      </c>
      <c r="S50" s="124">
        <f t="shared" si="4"/>
        <v>0</v>
      </c>
      <c r="T50" s="124">
        <f t="shared" si="5"/>
        <v>-5.1732101616628223E-2</v>
      </c>
      <c r="U50" s="70">
        <f t="shared" si="6"/>
        <v>0</v>
      </c>
      <c r="V50" s="70">
        <f t="shared" si="7"/>
        <v>-112</v>
      </c>
      <c r="W50" s="124">
        <f>R50/R48</f>
        <v>0.65949245101188569</v>
      </c>
    </row>
    <row r="51" spans="2:23" x14ac:dyDescent="0.25">
      <c r="B51" s="123" t="s">
        <v>64</v>
      </c>
      <c r="C51" s="70">
        <v>650</v>
      </c>
      <c r="D51" s="70">
        <v>422</v>
      </c>
      <c r="E51" s="70">
        <v>596</v>
      </c>
      <c r="F51" s="70">
        <v>819</v>
      </c>
      <c r="G51" s="70">
        <v>613</v>
      </c>
      <c r="H51" s="70">
        <v>657</v>
      </c>
      <c r="I51" s="124">
        <f t="shared" si="0"/>
        <v>7.1778140293637938E-2</v>
      </c>
      <c r="J51" s="124">
        <f t="shared" si="1"/>
        <v>0.55687203791469186</v>
      </c>
      <c r="K51" s="70">
        <f t="shared" si="2"/>
        <v>44</v>
      </c>
      <c r="L51" s="70">
        <f t="shared" si="3"/>
        <v>235</v>
      </c>
      <c r="M51" s="124">
        <f>H51/H48</f>
        <v>0.21220930232558138</v>
      </c>
      <c r="N51" s="70">
        <v>586</v>
      </c>
      <c r="O51" s="70">
        <v>824</v>
      </c>
      <c r="P51" s="70">
        <v>591</v>
      </c>
      <c r="Q51" s="70">
        <v>672</v>
      </c>
      <c r="R51" s="70">
        <v>672</v>
      </c>
      <c r="S51" s="124">
        <f t="shared" si="4"/>
        <v>0</v>
      </c>
      <c r="T51" s="124">
        <f t="shared" si="5"/>
        <v>0.14675767918088733</v>
      </c>
      <c r="U51" s="70">
        <f t="shared" si="6"/>
        <v>0</v>
      </c>
      <c r="V51" s="70">
        <f t="shared" si="7"/>
        <v>86</v>
      </c>
      <c r="W51" s="124">
        <f>R51/R48</f>
        <v>0.21586893671699325</v>
      </c>
    </row>
    <row r="52" spans="2:23" x14ac:dyDescent="0.25">
      <c r="B52" s="120" t="s">
        <v>65</v>
      </c>
      <c r="C52" s="121">
        <v>333</v>
      </c>
      <c r="D52" s="121">
        <v>460</v>
      </c>
      <c r="E52" s="121">
        <v>774</v>
      </c>
      <c r="F52" s="121">
        <v>904</v>
      </c>
      <c r="G52" s="121">
        <v>1110</v>
      </c>
      <c r="H52" s="121">
        <v>1086</v>
      </c>
      <c r="I52" s="122">
        <f t="shared" si="0"/>
        <v>-2.1621621621621623E-2</v>
      </c>
      <c r="J52" s="122">
        <f t="shared" si="1"/>
        <v>1.3608695652173912</v>
      </c>
      <c r="K52" s="121">
        <f t="shared" si="2"/>
        <v>-24</v>
      </c>
      <c r="L52" s="121">
        <f t="shared" si="3"/>
        <v>626</v>
      </c>
      <c r="M52" s="122">
        <f>H52/H48</f>
        <v>0.35077519379844962</v>
      </c>
      <c r="N52" s="121">
        <v>730</v>
      </c>
      <c r="O52" s="121">
        <v>904</v>
      </c>
      <c r="P52" s="121">
        <v>1114</v>
      </c>
      <c r="Q52" s="121">
        <v>1088</v>
      </c>
      <c r="R52" s="121">
        <v>1088</v>
      </c>
      <c r="S52" s="122">
        <f t="shared" si="4"/>
        <v>0</v>
      </c>
      <c r="T52" s="122">
        <f t="shared" si="5"/>
        <v>0.49041095890410968</v>
      </c>
      <c r="U52" s="121">
        <f t="shared" si="6"/>
        <v>0</v>
      </c>
      <c r="V52" s="121">
        <f t="shared" si="7"/>
        <v>358</v>
      </c>
      <c r="W52" s="122">
        <f>R52/R48</f>
        <v>0.3495020880179891</v>
      </c>
    </row>
    <row r="53" spans="2:23" ht="6.95" customHeight="1" x14ac:dyDescent="0.25">
      <c r="B53" s="127"/>
      <c r="C53" s="128"/>
      <c r="D53" s="128"/>
      <c r="E53" s="128"/>
      <c r="F53" s="128"/>
      <c r="G53" s="129"/>
      <c r="H53" s="128"/>
      <c r="I53" s="130"/>
      <c r="J53" s="130"/>
      <c r="K53" s="128"/>
      <c r="L53" s="130"/>
      <c r="M53" s="130"/>
      <c r="N53" s="128"/>
      <c r="O53" s="128"/>
      <c r="P53" s="128"/>
      <c r="Q53" s="128"/>
      <c r="R53" s="130"/>
      <c r="S53" s="130"/>
      <c r="T53" s="130"/>
      <c r="U53" s="130"/>
      <c r="V53" s="130"/>
    </row>
    <row r="54" spans="2:23" ht="15" customHeight="1" x14ac:dyDescent="0.25">
      <c r="B54" s="131" t="s">
        <v>57</v>
      </c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</row>
  </sheetData>
  <mergeCells count="2">
    <mergeCell ref="C5:H5"/>
    <mergeCell ref="N5:R5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93A25-2A74-4D4B-AC9C-C5B1C1E71270}">
  <sheetPr>
    <tabColor rgb="FF92D050"/>
  </sheetPr>
  <dimension ref="B1:S54"/>
  <sheetViews>
    <sheetView showGridLines="0" zoomScaleNormal="100" workbookViewId="0">
      <selection activeCell="G10" sqref="G10"/>
    </sheetView>
  </sheetViews>
  <sheetFormatPr baseColWidth="10" defaultRowHeight="15" x14ac:dyDescent="0.25"/>
  <cols>
    <col min="1" max="1" width="15.5703125" customWidth="1"/>
    <col min="2" max="2" width="25.7109375" customWidth="1"/>
    <col min="3" max="8" width="9.85546875" customWidth="1"/>
    <col min="9" max="9" width="10.7109375" customWidth="1"/>
    <col min="10" max="10" width="9.28515625" customWidth="1"/>
    <col min="11" max="11" width="12.28515625" customWidth="1"/>
    <col min="12" max="16" width="11.5703125" customWidth="1"/>
    <col min="17" max="17" width="10.7109375" customWidth="1"/>
    <col min="18" max="18" width="9.85546875" customWidth="1"/>
    <col min="20" max="20" width="14.42578125" customWidth="1"/>
    <col min="21" max="22" width="7.85546875" customWidth="1"/>
    <col min="23" max="23" width="8.140625" customWidth="1"/>
    <col min="24" max="24" width="9" customWidth="1"/>
    <col min="25" max="26" width="9.42578125" customWidth="1"/>
  </cols>
  <sheetData>
    <row r="1" spans="2:19" ht="42.75" customHeight="1" x14ac:dyDescent="0.25"/>
    <row r="3" spans="2:19" ht="30.75" customHeight="1" thickBot="1" x14ac:dyDescent="0.3">
      <c r="B3" s="106" t="str">
        <f>CONCATENATE("Establecimientos alojativos en funcionamiento en Tenerife y municipios")</f>
        <v>Establecimientos alojativos en funcionamiento en Tenerife y municipios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</row>
    <row r="4" spans="2:19" ht="6.95" customHeight="1" x14ac:dyDescent="0.25">
      <c r="B4" s="107"/>
      <c r="C4" s="107"/>
      <c r="D4" s="107"/>
      <c r="E4" s="107"/>
      <c r="F4" s="107"/>
      <c r="G4" s="107"/>
      <c r="H4" s="107"/>
      <c r="I4" s="108"/>
      <c r="J4" s="107"/>
      <c r="K4" s="107"/>
      <c r="L4" s="107"/>
      <c r="M4" s="107"/>
      <c r="N4" s="107"/>
      <c r="O4" s="107"/>
      <c r="P4" s="108"/>
      <c r="Q4" s="108"/>
      <c r="R4" s="108"/>
      <c r="S4" s="108"/>
    </row>
    <row r="5" spans="2:19" ht="15.75" thickBot="1" x14ac:dyDescent="0.3">
      <c r="B5" s="109"/>
      <c r="C5" s="110" t="s">
        <v>66</v>
      </c>
      <c r="D5" s="110"/>
      <c r="E5" s="110"/>
      <c r="F5" s="110"/>
      <c r="G5" s="110"/>
      <c r="H5" s="110"/>
      <c r="I5" s="111"/>
      <c r="J5" s="111"/>
      <c r="K5" s="112"/>
      <c r="L5" s="113" t="s">
        <v>67</v>
      </c>
      <c r="M5" s="113"/>
      <c r="N5" s="113"/>
      <c r="O5" s="113"/>
      <c r="P5" s="113"/>
      <c r="Q5" s="111"/>
      <c r="R5" s="111"/>
      <c r="S5" s="112"/>
    </row>
    <row r="6" spans="2:19" ht="59.25" customHeight="1" x14ac:dyDescent="0.25">
      <c r="B6" s="114"/>
      <c r="C6" s="15">
        <v>2019</v>
      </c>
      <c r="D6" s="15">
        <v>2020</v>
      </c>
      <c r="E6" s="15">
        <v>2021</v>
      </c>
      <c r="F6" s="15">
        <v>2022</v>
      </c>
      <c r="G6" s="15">
        <v>2023</v>
      </c>
      <c r="H6" s="15">
        <v>2024</v>
      </c>
      <c r="I6" s="115" t="str">
        <f>CONCATENATE("var. ",RIGHT(H6,2),"/",RIGHT(G6,2))</f>
        <v>var. 24/23</v>
      </c>
      <c r="J6" s="115" t="str">
        <f>CONCATENATE("dif. ",RIGHT(H6,2),"/",RIGHT(G6,2))</f>
        <v>dif. 24/23</v>
      </c>
      <c r="K6" s="15" t="str">
        <f>CONCATENATE("cuota/ total isla ",RIGHT(H6,2))</f>
        <v>cuota/ total isla 24</v>
      </c>
      <c r="L6" s="116" t="s">
        <v>228</v>
      </c>
      <c r="M6" s="116" t="s">
        <v>229</v>
      </c>
      <c r="N6" s="116" t="s">
        <v>230</v>
      </c>
      <c r="O6" s="116" t="s">
        <v>231</v>
      </c>
      <c r="P6" s="116" t="s">
        <v>232</v>
      </c>
      <c r="Q6" s="115" t="str">
        <f>CONCATENATE("var. ",RIGHT(P6,2),"/",RIGHT(O6,2))</f>
        <v>var. 25/24</v>
      </c>
      <c r="R6" s="115" t="str">
        <f>CONCATENATE("dif. ",RIGHT(P6,2),"/",RIGHT(O6,2))</f>
        <v>dif. 25/24</v>
      </c>
      <c r="S6" s="112" t="str">
        <f>CONCATENATE("cuota/ total isla ",RIGHT(P6,2))</f>
        <v>cuota/ total isla 25</v>
      </c>
    </row>
    <row r="7" spans="2:19" x14ac:dyDescent="0.25">
      <c r="B7" s="117" t="s">
        <v>45</v>
      </c>
      <c r="C7" s="118">
        <v>388</v>
      </c>
      <c r="D7" s="118">
        <v>173</v>
      </c>
      <c r="E7" s="118">
        <v>195</v>
      </c>
      <c r="F7" s="118">
        <v>293</v>
      </c>
      <c r="G7" s="118">
        <v>308</v>
      </c>
      <c r="H7" s="118">
        <v>321</v>
      </c>
      <c r="I7" s="119">
        <f>IFERROR(H7/G7-1,"-")</f>
        <v>4.2207792207792139E-2</v>
      </c>
      <c r="J7" s="118">
        <f>IFERROR(H7-G7,"-")</f>
        <v>13</v>
      </c>
      <c r="K7" s="119">
        <f>H7/H7</f>
        <v>1</v>
      </c>
      <c r="L7" s="118">
        <v>247</v>
      </c>
      <c r="M7" s="118">
        <v>297</v>
      </c>
      <c r="N7" s="118">
        <v>310</v>
      </c>
      <c r="O7" s="118">
        <v>322</v>
      </c>
      <c r="P7" s="118">
        <v>327</v>
      </c>
      <c r="Q7" s="119">
        <f t="shared" ref="Q7:Q52" si="0">IFERROR(P7/O7-1,"-")</f>
        <v>1.552795031055898E-2</v>
      </c>
      <c r="R7" s="118">
        <f t="shared" ref="R7:R52" si="1">IFERROR(P7-O7,"-")</f>
        <v>5</v>
      </c>
      <c r="S7" s="119">
        <f>P7/P7</f>
        <v>1</v>
      </c>
    </row>
    <row r="8" spans="2:19" x14ac:dyDescent="0.25">
      <c r="B8" s="120" t="s">
        <v>62</v>
      </c>
      <c r="C8" s="121">
        <v>230</v>
      </c>
      <c r="D8" s="121">
        <v>104</v>
      </c>
      <c r="E8" s="121">
        <v>124</v>
      </c>
      <c r="F8" s="121">
        <v>194</v>
      </c>
      <c r="G8" s="121">
        <v>199</v>
      </c>
      <c r="H8" s="121">
        <v>210</v>
      </c>
      <c r="I8" s="122">
        <f t="shared" ref="I8:I52" si="2">IFERROR(H8/G8-1,"-")</f>
        <v>5.5276381909547645E-2</v>
      </c>
      <c r="J8" s="121">
        <f t="shared" ref="J8:J52" si="3">IFERROR(H8-G8,"-")</f>
        <v>11</v>
      </c>
      <c r="K8" s="122">
        <f>H8/H7</f>
        <v>0.65420560747663548</v>
      </c>
      <c r="L8" s="121">
        <v>166</v>
      </c>
      <c r="M8" s="121">
        <v>196</v>
      </c>
      <c r="N8" s="121">
        <v>201</v>
      </c>
      <c r="O8" s="121">
        <v>210</v>
      </c>
      <c r="P8" s="121">
        <v>214</v>
      </c>
      <c r="Q8" s="122">
        <f t="shared" si="0"/>
        <v>1.904761904761898E-2</v>
      </c>
      <c r="R8" s="121">
        <f t="shared" si="1"/>
        <v>4</v>
      </c>
      <c r="S8" s="122">
        <f>P8/P7</f>
        <v>0.65443425076452599</v>
      </c>
    </row>
    <row r="9" spans="2:19" x14ac:dyDescent="0.25">
      <c r="B9" s="123" t="s">
        <v>63</v>
      </c>
      <c r="C9" s="70">
        <v>124</v>
      </c>
      <c r="D9" s="70">
        <v>63</v>
      </c>
      <c r="E9" s="70">
        <v>84</v>
      </c>
      <c r="F9" s="70">
        <v>128</v>
      </c>
      <c r="G9" s="70">
        <v>131</v>
      </c>
      <c r="H9" s="70">
        <v>136</v>
      </c>
      <c r="I9" s="124">
        <f t="shared" si="2"/>
        <v>3.8167938931297662E-2</v>
      </c>
      <c r="J9" s="70">
        <f t="shared" si="3"/>
        <v>5</v>
      </c>
      <c r="K9" s="124">
        <f>H9/H7</f>
        <v>0.42367601246105918</v>
      </c>
      <c r="L9" s="70">
        <v>114</v>
      </c>
      <c r="M9" s="70">
        <v>128</v>
      </c>
      <c r="N9" s="70">
        <v>134</v>
      </c>
      <c r="O9" s="70">
        <v>136</v>
      </c>
      <c r="P9" s="70">
        <v>137</v>
      </c>
      <c r="Q9" s="124">
        <f t="shared" si="0"/>
        <v>7.3529411764705621E-3</v>
      </c>
      <c r="R9" s="70">
        <f t="shared" si="1"/>
        <v>1</v>
      </c>
      <c r="S9" s="124">
        <f>P9/P7</f>
        <v>0.41896024464831805</v>
      </c>
    </row>
    <row r="10" spans="2:19" x14ac:dyDescent="0.25">
      <c r="B10" s="123" t="s">
        <v>64</v>
      </c>
      <c r="C10" s="70">
        <v>107</v>
      </c>
      <c r="D10" s="70">
        <v>41</v>
      </c>
      <c r="E10" s="70">
        <v>40</v>
      </c>
      <c r="F10" s="70">
        <v>65</v>
      </c>
      <c r="G10" s="70">
        <v>68</v>
      </c>
      <c r="H10" s="70">
        <v>74</v>
      </c>
      <c r="I10" s="124">
        <f t="shared" si="2"/>
        <v>8.8235294117646967E-2</v>
      </c>
      <c r="J10" s="70">
        <f t="shared" si="3"/>
        <v>6</v>
      </c>
      <c r="K10" s="124">
        <f>H10/H7</f>
        <v>0.23052959501557632</v>
      </c>
      <c r="L10" s="70">
        <v>52</v>
      </c>
      <c r="M10" s="70">
        <v>68</v>
      </c>
      <c r="N10" s="70">
        <v>67</v>
      </c>
      <c r="O10" s="70">
        <v>74</v>
      </c>
      <c r="P10" s="70">
        <v>77</v>
      </c>
      <c r="Q10" s="124">
        <f t="shared" si="0"/>
        <v>4.0540540540540571E-2</v>
      </c>
      <c r="R10" s="70">
        <f t="shared" si="1"/>
        <v>3</v>
      </c>
      <c r="S10" s="124">
        <f>P10/P7</f>
        <v>0.23547400611620795</v>
      </c>
    </row>
    <row r="11" spans="2:19" x14ac:dyDescent="0.25">
      <c r="B11" s="120" t="s">
        <v>65</v>
      </c>
      <c r="C11" s="121">
        <v>158</v>
      </c>
      <c r="D11" s="121">
        <v>70</v>
      </c>
      <c r="E11" s="121">
        <v>71</v>
      </c>
      <c r="F11" s="121">
        <v>100</v>
      </c>
      <c r="G11" s="121">
        <v>109</v>
      </c>
      <c r="H11" s="121">
        <v>111</v>
      </c>
      <c r="I11" s="122">
        <f t="shared" si="2"/>
        <v>1.8348623853210899E-2</v>
      </c>
      <c r="J11" s="121">
        <f t="shared" si="3"/>
        <v>2</v>
      </c>
      <c r="K11" s="122">
        <f>H11/H7</f>
        <v>0.34579439252336447</v>
      </c>
      <c r="L11" s="121">
        <v>81</v>
      </c>
      <c r="M11" s="121">
        <v>101</v>
      </c>
      <c r="N11" s="121">
        <v>109</v>
      </c>
      <c r="O11" s="121">
        <v>112</v>
      </c>
      <c r="P11" s="121">
        <v>113</v>
      </c>
      <c r="Q11" s="122">
        <f t="shared" si="0"/>
        <v>8.9285714285713969E-3</v>
      </c>
      <c r="R11" s="121">
        <f t="shared" si="1"/>
        <v>1</v>
      </c>
      <c r="S11" s="122">
        <f>P11/P7</f>
        <v>0.34556574923547401</v>
      </c>
    </row>
    <row r="12" spans="2:19" x14ac:dyDescent="0.25">
      <c r="B12" s="117" t="s">
        <v>46</v>
      </c>
      <c r="C12" s="125">
        <v>100</v>
      </c>
      <c r="D12" s="125">
        <v>49</v>
      </c>
      <c r="E12" s="125">
        <v>57</v>
      </c>
      <c r="F12" s="125">
        <v>84</v>
      </c>
      <c r="G12" s="125">
        <v>90</v>
      </c>
      <c r="H12" s="125">
        <v>94</v>
      </c>
      <c r="I12" s="126">
        <f t="shared" si="2"/>
        <v>4.4444444444444509E-2</v>
      </c>
      <c r="J12" s="125">
        <f t="shared" si="3"/>
        <v>4</v>
      </c>
      <c r="K12" s="119">
        <f>H12/H12</f>
        <v>1</v>
      </c>
      <c r="L12" s="125">
        <v>71</v>
      </c>
      <c r="M12" s="125">
        <v>84</v>
      </c>
      <c r="N12" s="125">
        <v>90</v>
      </c>
      <c r="O12" s="125">
        <v>94</v>
      </c>
      <c r="P12" s="125">
        <v>93</v>
      </c>
      <c r="Q12" s="126">
        <f t="shared" si="0"/>
        <v>-1.0638297872340385E-2</v>
      </c>
      <c r="R12" s="125">
        <f t="shared" si="1"/>
        <v>-1</v>
      </c>
      <c r="S12" s="119">
        <f>P12/P12</f>
        <v>1</v>
      </c>
    </row>
    <row r="13" spans="2:19" ht="15" customHeight="1" x14ac:dyDescent="0.25">
      <c r="B13" s="120" t="s">
        <v>62</v>
      </c>
      <c r="C13" s="121">
        <v>62</v>
      </c>
      <c r="D13" s="121">
        <v>31</v>
      </c>
      <c r="E13" s="121">
        <v>40</v>
      </c>
      <c r="F13" s="121">
        <v>60</v>
      </c>
      <c r="G13" s="121">
        <v>62</v>
      </c>
      <c r="H13" s="121">
        <v>63</v>
      </c>
      <c r="I13" s="122">
        <f t="shared" si="2"/>
        <v>1.6129032258064502E-2</v>
      </c>
      <c r="J13" s="121">
        <f t="shared" si="3"/>
        <v>1</v>
      </c>
      <c r="K13" s="122">
        <f>H13/H12</f>
        <v>0.67021276595744683</v>
      </c>
      <c r="L13" s="121">
        <v>53</v>
      </c>
      <c r="M13" s="121">
        <v>60</v>
      </c>
      <c r="N13" s="121">
        <v>62</v>
      </c>
      <c r="O13" s="121">
        <v>62</v>
      </c>
      <c r="P13" s="121">
        <v>61</v>
      </c>
      <c r="Q13" s="122">
        <f t="shared" si="0"/>
        <v>-1.6129032258064502E-2</v>
      </c>
      <c r="R13" s="121">
        <f t="shared" si="1"/>
        <v>-1</v>
      </c>
      <c r="S13" s="122">
        <f>P13/P12</f>
        <v>0.65591397849462363</v>
      </c>
    </row>
    <row r="14" spans="2:19" x14ac:dyDescent="0.25">
      <c r="B14" s="123" t="s">
        <v>63</v>
      </c>
      <c r="C14" s="70">
        <v>44</v>
      </c>
      <c r="D14" s="70">
        <v>25</v>
      </c>
      <c r="E14" s="70">
        <v>33</v>
      </c>
      <c r="F14" s="70">
        <v>48</v>
      </c>
      <c r="G14" s="70">
        <v>50</v>
      </c>
      <c r="H14" s="70">
        <v>52</v>
      </c>
      <c r="I14" s="124">
        <f t="shared" si="2"/>
        <v>4.0000000000000036E-2</v>
      </c>
      <c r="J14" s="70">
        <f t="shared" si="3"/>
        <v>2</v>
      </c>
      <c r="K14" s="124">
        <f>H14/H12</f>
        <v>0.55319148936170215</v>
      </c>
      <c r="L14" s="70">
        <v>43</v>
      </c>
      <c r="M14" s="70">
        <v>48</v>
      </c>
      <c r="N14" s="70">
        <v>51</v>
      </c>
      <c r="O14" s="70">
        <v>51</v>
      </c>
      <c r="P14" s="70">
        <v>50</v>
      </c>
      <c r="Q14" s="124">
        <f t="shared" si="0"/>
        <v>-1.9607843137254943E-2</v>
      </c>
      <c r="R14" s="70">
        <f t="shared" si="1"/>
        <v>-1</v>
      </c>
      <c r="S14" s="124">
        <f>P14/P12</f>
        <v>0.5376344086021505</v>
      </c>
    </row>
    <row r="15" spans="2:19" x14ac:dyDescent="0.25">
      <c r="B15" s="123" t="s">
        <v>64</v>
      </c>
      <c r="C15" s="70">
        <v>18</v>
      </c>
      <c r="D15" s="70">
        <v>6</v>
      </c>
      <c r="E15" s="70">
        <v>7</v>
      </c>
      <c r="F15" s="70">
        <v>12</v>
      </c>
      <c r="G15" s="70">
        <v>11</v>
      </c>
      <c r="H15" s="70">
        <v>11</v>
      </c>
      <c r="I15" s="124">
        <f t="shared" si="2"/>
        <v>0</v>
      </c>
      <c r="J15" s="70">
        <f t="shared" si="3"/>
        <v>0</v>
      </c>
      <c r="K15" s="124">
        <f>H15/H12</f>
        <v>0.11702127659574468</v>
      </c>
      <c r="L15" s="70">
        <v>10</v>
      </c>
      <c r="M15" s="70">
        <v>12</v>
      </c>
      <c r="N15" s="70">
        <v>11</v>
      </c>
      <c r="O15" s="70">
        <v>11</v>
      </c>
      <c r="P15" s="70">
        <v>11</v>
      </c>
      <c r="Q15" s="124">
        <f t="shared" si="0"/>
        <v>0</v>
      </c>
      <c r="R15" s="70">
        <f t="shared" si="1"/>
        <v>0</v>
      </c>
      <c r="S15" s="124">
        <f>P15/P12</f>
        <v>0.11827956989247312</v>
      </c>
    </row>
    <row r="16" spans="2:19" x14ac:dyDescent="0.25">
      <c r="B16" s="120" t="s">
        <v>65</v>
      </c>
      <c r="C16" s="121">
        <v>38</v>
      </c>
      <c r="D16" s="121">
        <v>18</v>
      </c>
      <c r="E16" s="121">
        <v>17</v>
      </c>
      <c r="F16" s="121">
        <v>24</v>
      </c>
      <c r="G16" s="121">
        <v>29</v>
      </c>
      <c r="H16" s="121">
        <v>31</v>
      </c>
      <c r="I16" s="122">
        <f t="shared" si="2"/>
        <v>6.8965517241379226E-2</v>
      </c>
      <c r="J16" s="121">
        <f t="shared" si="3"/>
        <v>2</v>
      </c>
      <c r="K16" s="122">
        <f>H16/H12</f>
        <v>0.32978723404255317</v>
      </c>
      <c r="L16" s="121">
        <v>18</v>
      </c>
      <c r="M16" s="121">
        <v>24</v>
      </c>
      <c r="N16" s="121">
        <v>28</v>
      </c>
      <c r="O16" s="121">
        <v>32</v>
      </c>
      <c r="P16" s="121">
        <v>32</v>
      </c>
      <c r="Q16" s="122">
        <f t="shared" si="0"/>
        <v>0</v>
      </c>
      <c r="R16" s="121">
        <f t="shared" si="1"/>
        <v>0</v>
      </c>
      <c r="S16" s="122">
        <f>P16/P12</f>
        <v>0.34408602150537637</v>
      </c>
    </row>
    <row r="17" spans="2:19" x14ac:dyDescent="0.25">
      <c r="B17" s="117" t="s">
        <v>54</v>
      </c>
      <c r="C17" s="125">
        <v>19</v>
      </c>
      <c r="D17" s="125">
        <v>9</v>
      </c>
      <c r="E17" s="125">
        <v>11</v>
      </c>
      <c r="F17" s="125">
        <v>14</v>
      </c>
      <c r="G17" s="125">
        <v>14</v>
      </c>
      <c r="H17" s="125">
        <v>14</v>
      </c>
      <c r="I17" s="126">
        <f t="shared" si="2"/>
        <v>0</v>
      </c>
      <c r="J17" s="125">
        <f t="shared" si="3"/>
        <v>0</v>
      </c>
      <c r="K17" s="119">
        <f>H17/H17</f>
        <v>1</v>
      </c>
      <c r="L17" s="125">
        <v>13</v>
      </c>
      <c r="M17" s="125">
        <v>14</v>
      </c>
      <c r="N17" s="125">
        <v>14</v>
      </c>
      <c r="O17" s="125">
        <v>14</v>
      </c>
      <c r="P17" s="125">
        <v>15</v>
      </c>
      <c r="Q17" s="126">
        <f t="shared" si="0"/>
        <v>7.1428571428571397E-2</v>
      </c>
      <c r="R17" s="125">
        <f t="shared" si="1"/>
        <v>1</v>
      </c>
      <c r="S17" s="119">
        <f>P17/P17</f>
        <v>1</v>
      </c>
    </row>
    <row r="18" spans="2:19" x14ac:dyDescent="0.25">
      <c r="B18" s="120" t="s">
        <v>62</v>
      </c>
      <c r="C18" s="121">
        <v>7</v>
      </c>
      <c r="D18" s="121">
        <v>4</v>
      </c>
      <c r="E18" s="121">
        <v>5</v>
      </c>
      <c r="F18" s="121">
        <v>8</v>
      </c>
      <c r="G18" s="121">
        <v>8</v>
      </c>
      <c r="H18" s="121">
        <v>8</v>
      </c>
      <c r="I18" s="122">
        <f t="shared" si="2"/>
        <v>0</v>
      </c>
      <c r="J18" s="121">
        <f t="shared" si="3"/>
        <v>0</v>
      </c>
      <c r="K18" s="122">
        <f>H18/H17</f>
        <v>0.5714285714285714</v>
      </c>
      <c r="L18" s="121">
        <v>7</v>
      </c>
      <c r="M18" s="121">
        <v>8</v>
      </c>
      <c r="N18" s="121">
        <v>8</v>
      </c>
      <c r="O18" s="121">
        <v>8</v>
      </c>
      <c r="P18" s="121">
        <v>8</v>
      </c>
      <c r="Q18" s="122">
        <f t="shared" si="0"/>
        <v>0</v>
      </c>
      <c r="R18" s="121">
        <f t="shared" si="1"/>
        <v>0</v>
      </c>
      <c r="S18" s="122">
        <f>P18/P17</f>
        <v>0.53333333333333333</v>
      </c>
    </row>
    <row r="19" spans="2:19" x14ac:dyDescent="0.25">
      <c r="B19" s="123" t="s">
        <v>63</v>
      </c>
      <c r="C19" s="70">
        <v>5</v>
      </c>
      <c r="D19" s="70">
        <v>0</v>
      </c>
      <c r="E19" s="70">
        <v>4</v>
      </c>
      <c r="F19" s="70">
        <v>6</v>
      </c>
      <c r="G19" s="70">
        <v>6</v>
      </c>
      <c r="H19" s="70">
        <v>6</v>
      </c>
      <c r="I19" s="124">
        <f t="shared" si="2"/>
        <v>0</v>
      </c>
      <c r="J19" s="70">
        <f t="shared" si="3"/>
        <v>0</v>
      </c>
      <c r="K19" s="124">
        <f>H19/H17</f>
        <v>0.42857142857142855</v>
      </c>
      <c r="L19" s="70">
        <v>5</v>
      </c>
      <c r="M19" s="70">
        <v>6</v>
      </c>
      <c r="N19" s="70">
        <v>6</v>
      </c>
      <c r="O19" s="70">
        <v>6</v>
      </c>
      <c r="P19" s="70">
        <v>6</v>
      </c>
      <c r="Q19" s="124">
        <f t="shared" si="0"/>
        <v>0</v>
      </c>
      <c r="R19" s="70">
        <f t="shared" si="1"/>
        <v>0</v>
      </c>
      <c r="S19" s="124">
        <f>P19/P17</f>
        <v>0.4</v>
      </c>
    </row>
    <row r="20" spans="2:19" x14ac:dyDescent="0.25">
      <c r="B20" s="123" t="s">
        <v>64</v>
      </c>
      <c r="C20" s="70">
        <v>2</v>
      </c>
      <c r="D20" s="70">
        <v>0</v>
      </c>
      <c r="E20" s="70">
        <v>2</v>
      </c>
      <c r="F20" s="70">
        <v>2</v>
      </c>
      <c r="G20" s="70">
        <v>2</v>
      </c>
      <c r="H20" s="70">
        <v>2</v>
      </c>
      <c r="I20" s="124">
        <f t="shared" si="2"/>
        <v>0</v>
      </c>
      <c r="J20" s="70">
        <f t="shared" si="3"/>
        <v>0</v>
      </c>
      <c r="K20" s="124">
        <f>H20/H17</f>
        <v>0.14285714285714285</v>
      </c>
      <c r="L20" s="70">
        <v>2</v>
      </c>
      <c r="M20" s="70">
        <v>2</v>
      </c>
      <c r="N20" s="70">
        <v>2</v>
      </c>
      <c r="O20" s="70">
        <v>2</v>
      </c>
      <c r="P20" s="70">
        <v>2</v>
      </c>
      <c r="Q20" s="124">
        <f t="shared" si="0"/>
        <v>0</v>
      </c>
      <c r="R20" s="70">
        <f t="shared" si="1"/>
        <v>0</v>
      </c>
      <c r="S20" s="124">
        <f>P20/P17</f>
        <v>0.13333333333333333</v>
      </c>
    </row>
    <row r="21" spans="2:19" x14ac:dyDescent="0.25">
      <c r="B21" s="120" t="s">
        <v>65</v>
      </c>
      <c r="C21" s="121">
        <v>12</v>
      </c>
      <c r="D21" s="121">
        <v>5</v>
      </c>
      <c r="E21" s="121">
        <v>6</v>
      </c>
      <c r="F21" s="121">
        <v>6</v>
      </c>
      <c r="G21" s="121">
        <v>6</v>
      </c>
      <c r="H21" s="121">
        <v>6</v>
      </c>
      <c r="I21" s="122">
        <f t="shared" si="2"/>
        <v>0</v>
      </c>
      <c r="J21" s="121">
        <f t="shared" si="3"/>
        <v>0</v>
      </c>
      <c r="K21" s="122">
        <f>H21/H17</f>
        <v>0.42857142857142855</v>
      </c>
      <c r="L21" s="121">
        <v>6</v>
      </c>
      <c r="M21" s="121">
        <v>6</v>
      </c>
      <c r="N21" s="121">
        <v>6</v>
      </c>
      <c r="O21" s="121">
        <v>6</v>
      </c>
      <c r="P21" s="121">
        <v>7</v>
      </c>
      <c r="Q21" s="122">
        <f t="shared" si="0"/>
        <v>0.16666666666666674</v>
      </c>
      <c r="R21" s="121">
        <f t="shared" si="1"/>
        <v>1</v>
      </c>
      <c r="S21" s="122">
        <f>P21/P17</f>
        <v>0.46666666666666667</v>
      </c>
    </row>
    <row r="22" spans="2:19" x14ac:dyDescent="0.25">
      <c r="B22" s="117" t="s">
        <v>48</v>
      </c>
      <c r="C22" s="125">
        <v>13</v>
      </c>
      <c r="D22" s="125">
        <v>4</v>
      </c>
      <c r="E22" s="125">
        <v>4</v>
      </c>
      <c r="F22" s="125">
        <v>5</v>
      </c>
      <c r="G22" s="125">
        <v>7</v>
      </c>
      <c r="H22" s="125">
        <v>7</v>
      </c>
      <c r="I22" s="126">
        <f t="shared" si="2"/>
        <v>0</v>
      </c>
      <c r="J22" s="125">
        <f t="shared" si="3"/>
        <v>0</v>
      </c>
      <c r="K22" s="126">
        <f>H22/H22</f>
        <v>1</v>
      </c>
      <c r="L22" s="125">
        <v>4</v>
      </c>
      <c r="M22" s="125">
        <v>6</v>
      </c>
      <c r="N22" s="125">
        <v>7</v>
      </c>
      <c r="O22" s="125">
        <v>8</v>
      </c>
      <c r="P22" s="125">
        <v>8</v>
      </c>
      <c r="Q22" s="126">
        <f t="shared" si="0"/>
        <v>0</v>
      </c>
      <c r="R22" s="125">
        <f t="shared" si="1"/>
        <v>0</v>
      </c>
      <c r="S22" s="126">
        <f>P22/P22</f>
        <v>1</v>
      </c>
    </row>
    <row r="23" spans="2:19" x14ac:dyDescent="0.25">
      <c r="B23" s="120" t="s">
        <v>62</v>
      </c>
      <c r="C23" s="121">
        <v>7</v>
      </c>
      <c r="D23" s="121">
        <v>3</v>
      </c>
      <c r="E23" s="121">
        <v>4</v>
      </c>
      <c r="F23" s="121">
        <v>5</v>
      </c>
      <c r="G23" s="121">
        <v>6</v>
      </c>
      <c r="H23" s="121">
        <v>6</v>
      </c>
      <c r="I23" s="122">
        <f t="shared" si="2"/>
        <v>0</v>
      </c>
      <c r="J23" s="121">
        <f t="shared" si="3"/>
        <v>0</v>
      </c>
      <c r="K23" s="122">
        <f>H23/H22</f>
        <v>0.8571428571428571</v>
      </c>
      <c r="L23" s="121">
        <v>4</v>
      </c>
      <c r="M23" s="121">
        <v>6</v>
      </c>
      <c r="N23" s="121">
        <v>6</v>
      </c>
      <c r="O23" s="121">
        <v>6</v>
      </c>
      <c r="P23" s="121">
        <v>6</v>
      </c>
      <c r="Q23" s="122">
        <f t="shared" si="0"/>
        <v>0</v>
      </c>
      <c r="R23" s="121">
        <f t="shared" si="1"/>
        <v>0</v>
      </c>
      <c r="S23" s="122">
        <f>P23/P22</f>
        <v>0.75</v>
      </c>
    </row>
    <row r="24" spans="2:19" x14ac:dyDescent="0.25">
      <c r="B24" s="120" t="s">
        <v>65</v>
      </c>
      <c r="C24" s="121">
        <v>6</v>
      </c>
      <c r="D24" s="121">
        <v>0</v>
      </c>
      <c r="E24" s="121">
        <v>0</v>
      </c>
      <c r="F24" s="121">
        <v>0</v>
      </c>
      <c r="G24" s="121">
        <v>0</v>
      </c>
      <c r="H24" s="121">
        <v>0</v>
      </c>
      <c r="I24" s="122" t="str">
        <f t="shared" si="2"/>
        <v>-</v>
      </c>
      <c r="J24" s="121">
        <f t="shared" si="3"/>
        <v>0</v>
      </c>
      <c r="K24" s="122">
        <f>H24/H22</f>
        <v>0</v>
      </c>
      <c r="L24" s="121">
        <v>0</v>
      </c>
      <c r="M24" s="121">
        <v>0</v>
      </c>
      <c r="N24" s="121">
        <v>0</v>
      </c>
      <c r="O24" s="121">
        <v>0</v>
      </c>
      <c r="P24" s="121">
        <v>0</v>
      </c>
      <c r="Q24" s="122" t="str">
        <f t="shared" si="0"/>
        <v>-</v>
      </c>
      <c r="R24" s="121">
        <f t="shared" si="1"/>
        <v>0</v>
      </c>
      <c r="S24" s="122">
        <f>P24/P22</f>
        <v>0</v>
      </c>
    </row>
    <row r="25" spans="2:19" x14ac:dyDescent="0.25">
      <c r="B25" s="117" t="s">
        <v>49</v>
      </c>
      <c r="C25" s="125">
        <v>6</v>
      </c>
      <c r="D25" s="125">
        <v>3</v>
      </c>
      <c r="E25" s="125">
        <v>4</v>
      </c>
      <c r="F25" s="125">
        <v>5</v>
      </c>
      <c r="G25" s="125">
        <v>4</v>
      </c>
      <c r="H25" s="125">
        <v>5</v>
      </c>
      <c r="I25" s="126">
        <f t="shared" si="2"/>
        <v>0.25</v>
      </c>
      <c r="J25" s="125">
        <f t="shared" si="3"/>
        <v>1</v>
      </c>
      <c r="K25" s="119">
        <f>H25/H25</f>
        <v>1</v>
      </c>
      <c r="L25" s="125">
        <v>4</v>
      </c>
      <c r="M25" s="125">
        <v>5</v>
      </c>
      <c r="N25" s="125">
        <v>4</v>
      </c>
      <c r="O25" s="125">
        <v>5</v>
      </c>
      <c r="P25" s="125">
        <v>6</v>
      </c>
      <c r="Q25" s="126">
        <f t="shared" si="0"/>
        <v>0.19999999999999996</v>
      </c>
      <c r="R25" s="125">
        <f t="shared" si="1"/>
        <v>1</v>
      </c>
      <c r="S25" s="119">
        <f>P25/P25</f>
        <v>1</v>
      </c>
    </row>
    <row r="26" spans="2:19" x14ac:dyDescent="0.25">
      <c r="B26" s="120" t="s">
        <v>62</v>
      </c>
      <c r="C26" s="121">
        <v>5</v>
      </c>
      <c r="D26" s="121">
        <v>2</v>
      </c>
      <c r="E26" s="121">
        <v>3</v>
      </c>
      <c r="F26" s="121">
        <v>4</v>
      </c>
      <c r="G26" s="121">
        <v>3</v>
      </c>
      <c r="H26" s="121">
        <v>4</v>
      </c>
      <c r="I26" s="122">
        <f t="shared" si="2"/>
        <v>0.33333333333333326</v>
      </c>
      <c r="J26" s="121">
        <f t="shared" si="3"/>
        <v>1</v>
      </c>
      <c r="K26" s="122">
        <f>H26/H25</f>
        <v>0.8</v>
      </c>
      <c r="L26" s="121">
        <v>3</v>
      </c>
      <c r="M26" s="121">
        <v>4</v>
      </c>
      <c r="N26" s="121">
        <v>3</v>
      </c>
      <c r="O26" s="121">
        <v>4</v>
      </c>
      <c r="P26" s="121">
        <v>5</v>
      </c>
      <c r="Q26" s="122">
        <f t="shared" si="0"/>
        <v>0.25</v>
      </c>
      <c r="R26" s="121">
        <f t="shared" si="1"/>
        <v>1</v>
      </c>
      <c r="S26" s="122">
        <f>P26/P25</f>
        <v>0.83333333333333337</v>
      </c>
    </row>
    <row r="27" spans="2:19" x14ac:dyDescent="0.25">
      <c r="B27" s="123" t="s">
        <v>63</v>
      </c>
      <c r="C27" s="70">
        <v>3</v>
      </c>
      <c r="D27" s="70">
        <v>0</v>
      </c>
      <c r="E27" s="70">
        <v>0</v>
      </c>
      <c r="F27" s="70">
        <v>0</v>
      </c>
      <c r="G27" s="70">
        <v>0</v>
      </c>
      <c r="H27" s="70">
        <v>0</v>
      </c>
      <c r="I27" s="124" t="str">
        <f t="shared" si="2"/>
        <v>-</v>
      </c>
      <c r="J27" s="70">
        <f t="shared" si="3"/>
        <v>0</v>
      </c>
      <c r="K27" s="124">
        <f>H27/H25</f>
        <v>0</v>
      </c>
      <c r="L27" s="70">
        <v>3</v>
      </c>
      <c r="M27" s="70">
        <v>0</v>
      </c>
      <c r="N27" s="70">
        <v>3</v>
      </c>
      <c r="O27" s="70">
        <v>0</v>
      </c>
      <c r="P27" s="70">
        <v>0</v>
      </c>
      <c r="Q27" s="124" t="str">
        <f t="shared" si="0"/>
        <v>-</v>
      </c>
      <c r="R27" s="70">
        <f t="shared" si="1"/>
        <v>0</v>
      </c>
      <c r="S27" s="124">
        <f>P27/P25</f>
        <v>0</v>
      </c>
    </row>
    <row r="28" spans="2:19" x14ac:dyDescent="0.25">
      <c r="B28" s="123" t="s">
        <v>64</v>
      </c>
      <c r="C28" s="70">
        <v>2</v>
      </c>
      <c r="D28" s="70">
        <v>0</v>
      </c>
      <c r="E28" s="70">
        <v>0</v>
      </c>
      <c r="F28" s="70">
        <v>0</v>
      </c>
      <c r="G28" s="70">
        <v>0</v>
      </c>
      <c r="H28" s="70">
        <v>0</v>
      </c>
      <c r="I28" s="124" t="str">
        <f t="shared" si="2"/>
        <v>-</v>
      </c>
      <c r="J28" s="70">
        <f t="shared" si="3"/>
        <v>0</v>
      </c>
      <c r="K28" s="124">
        <f>H28/H25</f>
        <v>0</v>
      </c>
      <c r="L28" s="70">
        <v>0</v>
      </c>
      <c r="M28" s="70">
        <v>0</v>
      </c>
      <c r="N28" s="70">
        <v>0</v>
      </c>
      <c r="O28" s="70">
        <v>0</v>
      </c>
      <c r="P28" s="70">
        <v>0</v>
      </c>
      <c r="Q28" s="124" t="str">
        <f t="shared" si="0"/>
        <v>-</v>
      </c>
      <c r="R28" s="70">
        <f t="shared" si="1"/>
        <v>0</v>
      </c>
      <c r="S28" s="124">
        <f>P28/P25</f>
        <v>0</v>
      </c>
    </row>
    <row r="29" spans="2:19" x14ac:dyDescent="0.25">
      <c r="B29" s="117" t="s">
        <v>50</v>
      </c>
      <c r="C29" s="125">
        <v>78</v>
      </c>
      <c r="D29" s="125">
        <v>33</v>
      </c>
      <c r="E29" s="125">
        <v>37</v>
      </c>
      <c r="F29" s="125">
        <v>59</v>
      </c>
      <c r="G29" s="125">
        <v>62</v>
      </c>
      <c r="H29" s="125">
        <v>64</v>
      </c>
      <c r="I29" s="126">
        <f t="shared" si="2"/>
        <v>3.2258064516129004E-2</v>
      </c>
      <c r="J29" s="125">
        <f t="shared" si="3"/>
        <v>2</v>
      </c>
      <c r="K29" s="119">
        <f>H29/H29</f>
        <v>1</v>
      </c>
      <c r="L29" s="125">
        <v>51</v>
      </c>
      <c r="M29" s="125">
        <v>59</v>
      </c>
      <c r="N29" s="125">
        <v>62</v>
      </c>
      <c r="O29" s="125">
        <v>64</v>
      </c>
      <c r="P29" s="125">
        <v>66</v>
      </c>
      <c r="Q29" s="126">
        <f t="shared" si="0"/>
        <v>3.125E-2</v>
      </c>
      <c r="R29" s="125">
        <f t="shared" si="1"/>
        <v>2</v>
      </c>
      <c r="S29" s="119">
        <f>P29/P29</f>
        <v>1</v>
      </c>
    </row>
    <row r="30" spans="2:19" x14ac:dyDescent="0.25">
      <c r="B30" s="120" t="s">
        <v>62</v>
      </c>
      <c r="C30" s="121">
        <v>54</v>
      </c>
      <c r="D30" s="121">
        <v>21</v>
      </c>
      <c r="E30" s="121">
        <v>25</v>
      </c>
      <c r="F30" s="121">
        <v>41</v>
      </c>
      <c r="G30" s="121">
        <v>43</v>
      </c>
      <c r="H30" s="121">
        <v>45</v>
      </c>
      <c r="I30" s="122">
        <f t="shared" si="2"/>
        <v>4.6511627906976827E-2</v>
      </c>
      <c r="J30" s="121">
        <f t="shared" si="3"/>
        <v>2</v>
      </c>
      <c r="K30" s="122">
        <f>H30/H29</f>
        <v>0.703125</v>
      </c>
      <c r="L30" s="121">
        <v>36</v>
      </c>
      <c r="M30" s="121">
        <v>40</v>
      </c>
      <c r="N30" s="121">
        <v>43</v>
      </c>
      <c r="O30" s="121">
        <v>45</v>
      </c>
      <c r="P30" s="121">
        <v>47</v>
      </c>
      <c r="Q30" s="122">
        <f t="shared" si="0"/>
        <v>4.4444444444444509E-2</v>
      </c>
      <c r="R30" s="121">
        <f t="shared" si="1"/>
        <v>2</v>
      </c>
      <c r="S30" s="122">
        <f>P30/P29</f>
        <v>0.71212121212121215</v>
      </c>
    </row>
    <row r="31" spans="2:19" x14ac:dyDescent="0.25">
      <c r="B31" s="123" t="s">
        <v>63</v>
      </c>
      <c r="C31" s="70">
        <v>27</v>
      </c>
      <c r="D31" s="70">
        <v>11</v>
      </c>
      <c r="E31" s="70">
        <v>14</v>
      </c>
      <c r="F31" s="70">
        <v>25</v>
      </c>
      <c r="G31" s="70">
        <v>26</v>
      </c>
      <c r="H31" s="70">
        <v>28</v>
      </c>
      <c r="I31" s="124">
        <f t="shared" si="2"/>
        <v>7.6923076923076872E-2</v>
      </c>
      <c r="J31" s="70">
        <f t="shared" si="3"/>
        <v>2</v>
      </c>
      <c r="K31" s="124">
        <f>H31/H29</f>
        <v>0.4375</v>
      </c>
      <c r="L31" s="70">
        <v>21</v>
      </c>
      <c r="M31" s="70">
        <v>24</v>
      </c>
      <c r="N31" s="70">
        <v>26</v>
      </c>
      <c r="O31" s="70">
        <v>28</v>
      </c>
      <c r="P31" s="70">
        <v>29</v>
      </c>
      <c r="Q31" s="124">
        <f t="shared" si="0"/>
        <v>3.5714285714285809E-2</v>
      </c>
      <c r="R31" s="70">
        <f t="shared" si="1"/>
        <v>1</v>
      </c>
      <c r="S31" s="124">
        <f>P31/P29</f>
        <v>0.43939393939393939</v>
      </c>
    </row>
    <row r="32" spans="2:19" x14ac:dyDescent="0.25">
      <c r="B32" s="123" t="s">
        <v>64</v>
      </c>
      <c r="C32" s="70">
        <v>28</v>
      </c>
      <c r="D32" s="70">
        <v>10</v>
      </c>
      <c r="E32" s="70">
        <v>11</v>
      </c>
      <c r="F32" s="70">
        <v>16</v>
      </c>
      <c r="G32" s="70">
        <v>17</v>
      </c>
      <c r="H32" s="70">
        <v>17</v>
      </c>
      <c r="I32" s="124">
        <f t="shared" si="2"/>
        <v>0</v>
      </c>
      <c r="J32" s="70">
        <f t="shared" si="3"/>
        <v>0</v>
      </c>
      <c r="K32" s="124">
        <f>H32/H29</f>
        <v>0.265625</v>
      </c>
      <c r="L32" s="70">
        <v>15</v>
      </c>
      <c r="M32" s="70">
        <v>16</v>
      </c>
      <c r="N32" s="70">
        <v>17</v>
      </c>
      <c r="O32" s="70">
        <v>17</v>
      </c>
      <c r="P32" s="70">
        <v>18</v>
      </c>
      <c r="Q32" s="124">
        <f t="shared" si="0"/>
        <v>5.8823529411764719E-2</v>
      </c>
      <c r="R32" s="70">
        <f t="shared" si="1"/>
        <v>1</v>
      </c>
      <c r="S32" s="124">
        <f>P32/P29</f>
        <v>0.27272727272727271</v>
      </c>
    </row>
    <row r="33" spans="2:19" x14ac:dyDescent="0.25">
      <c r="B33" s="120" t="s">
        <v>65</v>
      </c>
      <c r="C33" s="121">
        <v>24</v>
      </c>
      <c r="D33" s="121">
        <v>12</v>
      </c>
      <c r="E33" s="121">
        <v>12</v>
      </c>
      <c r="F33" s="121">
        <v>18</v>
      </c>
      <c r="G33" s="121">
        <v>19</v>
      </c>
      <c r="H33" s="121">
        <v>19</v>
      </c>
      <c r="I33" s="122">
        <f t="shared" si="2"/>
        <v>0</v>
      </c>
      <c r="J33" s="121">
        <f t="shared" si="3"/>
        <v>0</v>
      </c>
      <c r="K33" s="122">
        <f>H33/H29</f>
        <v>0.296875</v>
      </c>
      <c r="L33" s="121">
        <v>15</v>
      </c>
      <c r="M33" s="121">
        <v>19</v>
      </c>
      <c r="N33" s="121">
        <v>19</v>
      </c>
      <c r="O33" s="121">
        <v>19</v>
      </c>
      <c r="P33" s="121">
        <v>19</v>
      </c>
      <c r="Q33" s="122">
        <f t="shared" si="0"/>
        <v>0</v>
      </c>
      <c r="R33" s="121">
        <f t="shared" si="1"/>
        <v>0</v>
      </c>
      <c r="S33" s="122">
        <f>P33/P29</f>
        <v>0.2878787878787879</v>
      </c>
    </row>
    <row r="34" spans="2:19" x14ac:dyDescent="0.25">
      <c r="B34" s="117" t="s">
        <v>51</v>
      </c>
      <c r="C34" s="125">
        <v>9</v>
      </c>
      <c r="D34" s="125">
        <v>4</v>
      </c>
      <c r="E34" s="125">
        <v>3</v>
      </c>
      <c r="F34" s="125">
        <v>5</v>
      </c>
      <c r="G34" s="125">
        <v>5</v>
      </c>
      <c r="H34" s="125">
        <v>6</v>
      </c>
      <c r="I34" s="126">
        <f t="shared" si="2"/>
        <v>0.19999999999999996</v>
      </c>
      <c r="J34" s="125">
        <f t="shared" si="3"/>
        <v>1</v>
      </c>
      <c r="K34" s="119">
        <f>H34/H34</f>
        <v>1</v>
      </c>
      <c r="L34" s="125">
        <v>4</v>
      </c>
      <c r="M34" s="125">
        <v>5</v>
      </c>
      <c r="N34" s="125">
        <v>5</v>
      </c>
      <c r="O34" s="125">
        <v>6</v>
      </c>
      <c r="P34" s="125">
        <v>6</v>
      </c>
      <c r="Q34" s="126">
        <f t="shared" si="0"/>
        <v>0</v>
      </c>
      <c r="R34" s="125">
        <f t="shared" si="1"/>
        <v>0</v>
      </c>
      <c r="S34" s="119">
        <f>P34/P34</f>
        <v>1</v>
      </c>
    </row>
    <row r="35" spans="2:19" x14ac:dyDescent="0.25">
      <c r="B35" s="120" t="s">
        <v>62</v>
      </c>
      <c r="C35" s="121">
        <v>9</v>
      </c>
      <c r="D35" s="121">
        <v>4</v>
      </c>
      <c r="E35" s="121">
        <v>3</v>
      </c>
      <c r="F35" s="121">
        <v>5</v>
      </c>
      <c r="G35" s="121">
        <v>5</v>
      </c>
      <c r="H35" s="121">
        <v>6</v>
      </c>
      <c r="I35" s="122">
        <f t="shared" si="2"/>
        <v>0.19999999999999996</v>
      </c>
      <c r="J35" s="121">
        <f t="shared" si="3"/>
        <v>1</v>
      </c>
      <c r="K35" s="122">
        <f>H35/H34</f>
        <v>1</v>
      </c>
      <c r="L35" s="121">
        <v>4</v>
      </c>
      <c r="M35" s="121">
        <v>5</v>
      </c>
      <c r="N35" s="121">
        <v>5</v>
      </c>
      <c r="O35" s="121">
        <v>6</v>
      </c>
      <c r="P35" s="121">
        <v>6</v>
      </c>
      <c r="Q35" s="122">
        <f t="shared" si="0"/>
        <v>0</v>
      </c>
      <c r="R35" s="121">
        <f t="shared" si="1"/>
        <v>0</v>
      </c>
      <c r="S35" s="122">
        <f>P35/P34</f>
        <v>1</v>
      </c>
    </row>
    <row r="36" spans="2:19" x14ac:dyDescent="0.25">
      <c r="B36" s="117" t="s">
        <v>52</v>
      </c>
      <c r="C36" s="125">
        <v>15</v>
      </c>
      <c r="D36" s="125">
        <v>6</v>
      </c>
      <c r="E36" s="125">
        <v>7</v>
      </c>
      <c r="F36" s="125">
        <v>11</v>
      </c>
      <c r="G36" s="125">
        <v>12</v>
      </c>
      <c r="H36" s="125">
        <v>12</v>
      </c>
      <c r="I36" s="126">
        <f t="shared" si="2"/>
        <v>0</v>
      </c>
      <c r="J36" s="125">
        <f t="shared" si="3"/>
        <v>0</v>
      </c>
      <c r="K36" s="126">
        <f>H36/H36</f>
        <v>1</v>
      </c>
      <c r="L36" s="125">
        <v>8</v>
      </c>
      <c r="M36" s="125">
        <v>12</v>
      </c>
      <c r="N36" s="125">
        <v>12</v>
      </c>
      <c r="O36" s="125">
        <v>12</v>
      </c>
      <c r="P36" s="125">
        <v>13</v>
      </c>
      <c r="Q36" s="126">
        <f t="shared" si="0"/>
        <v>8.3333333333333259E-2</v>
      </c>
      <c r="R36" s="125">
        <f t="shared" si="1"/>
        <v>1</v>
      </c>
      <c r="S36" s="126">
        <f>P36/P36</f>
        <v>1</v>
      </c>
    </row>
    <row r="37" spans="2:19" x14ac:dyDescent="0.25">
      <c r="B37" s="120" t="s">
        <v>62</v>
      </c>
      <c r="C37" s="121">
        <v>5</v>
      </c>
      <c r="D37" s="121">
        <v>2</v>
      </c>
      <c r="E37" s="121">
        <v>3</v>
      </c>
      <c r="F37" s="121">
        <v>6</v>
      </c>
      <c r="G37" s="121">
        <v>6</v>
      </c>
      <c r="H37" s="121">
        <v>6</v>
      </c>
      <c r="I37" s="122">
        <f t="shared" si="2"/>
        <v>0</v>
      </c>
      <c r="J37" s="121">
        <f t="shared" si="3"/>
        <v>0</v>
      </c>
      <c r="K37" s="122">
        <f>H37/H36</f>
        <v>0.5</v>
      </c>
      <c r="L37" s="121">
        <v>4</v>
      </c>
      <c r="M37" s="121">
        <v>6</v>
      </c>
      <c r="N37" s="121">
        <v>6</v>
      </c>
      <c r="O37" s="121">
        <v>6</v>
      </c>
      <c r="P37" s="121">
        <v>7</v>
      </c>
      <c r="Q37" s="122">
        <f t="shared" si="0"/>
        <v>0.16666666666666674</v>
      </c>
      <c r="R37" s="121">
        <f t="shared" si="1"/>
        <v>1</v>
      </c>
      <c r="S37" s="122">
        <f>P37/P36</f>
        <v>0.53846153846153844</v>
      </c>
    </row>
    <row r="38" spans="2:19" x14ac:dyDescent="0.25">
      <c r="B38" s="120" t="s">
        <v>65</v>
      </c>
      <c r="C38" s="121">
        <v>10</v>
      </c>
      <c r="D38" s="121">
        <v>3</v>
      </c>
      <c r="E38" s="121">
        <v>3</v>
      </c>
      <c r="F38" s="121">
        <v>5</v>
      </c>
      <c r="G38" s="121">
        <v>6</v>
      </c>
      <c r="H38" s="121">
        <v>6</v>
      </c>
      <c r="I38" s="122">
        <f t="shared" si="2"/>
        <v>0</v>
      </c>
      <c r="J38" s="121">
        <f t="shared" si="3"/>
        <v>0</v>
      </c>
      <c r="K38" s="122">
        <f>H38/H36</f>
        <v>0.5</v>
      </c>
      <c r="L38" s="121">
        <v>4</v>
      </c>
      <c r="M38" s="121">
        <v>6</v>
      </c>
      <c r="N38" s="121">
        <v>6</v>
      </c>
      <c r="O38" s="121">
        <v>6</v>
      </c>
      <c r="P38" s="121">
        <v>6</v>
      </c>
      <c r="Q38" s="122">
        <f t="shared" si="0"/>
        <v>0</v>
      </c>
      <c r="R38" s="121">
        <f t="shared" si="1"/>
        <v>0</v>
      </c>
      <c r="S38" s="122">
        <f>P38/P36</f>
        <v>0.46153846153846156</v>
      </c>
    </row>
    <row r="39" spans="2:19" x14ac:dyDescent="0.25">
      <c r="B39" s="117" t="s">
        <v>53</v>
      </c>
      <c r="C39" s="125">
        <v>23</v>
      </c>
      <c r="D39" s="125">
        <v>11</v>
      </c>
      <c r="E39" s="125">
        <v>12</v>
      </c>
      <c r="F39" s="125">
        <v>17</v>
      </c>
      <c r="G39" s="125">
        <v>19</v>
      </c>
      <c r="H39" s="125">
        <v>20</v>
      </c>
      <c r="I39" s="126">
        <f t="shared" si="2"/>
        <v>5.2631578947368363E-2</v>
      </c>
      <c r="J39" s="125">
        <f t="shared" si="3"/>
        <v>1</v>
      </c>
      <c r="K39" s="119">
        <f>H39/H39</f>
        <v>1</v>
      </c>
      <c r="L39" s="125">
        <v>14</v>
      </c>
      <c r="M39" s="125">
        <v>18</v>
      </c>
      <c r="N39" s="125">
        <v>19</v>
      </c>
      <c r="O39" s="125">
        <v>19</v>
      </c>
      <c r="P39" s="125">
        <v>21</v>
      </c>
      <c r="Q39" s="126">
        <f t="shared" si="0"/>
        <v>0.10526315789473695</v>
      </c>
      <c r="R39" s="125">
        <f t="shared" si="1"/>
        <v>2</v>
      </c>
      <c r="S39" s="119">
        <f>P39/P39</f>
        <v>1</v>
      </c>
    </row>
    <row r="40" spans="2:19" x14ac:dyDescent="0.25">
      <c r="B40" s="120" t="s">
        <v>62</v>
      </c>
      <c r="C40" s="121">
        <v>23</v>
      </c>
      <c r="D40" s="121">
        <v>11</v>
      </c>
      <c r="E40" s="121">
        <v>12</v>
      </c>
      <c r="F40" s="121">
        <v>17</v>
      </c>
      <c r="G40" s="121">
        <v>19</v>
      </c>
      <c r="H40" s="121">
        <v>20</v>
      </c>
      <c r="I40" s="122">
        <f t="shared" si="2"/>
        <v>5.2631578947368363E-2</v>
      </c>
      <c r="J40" s="121">
        <f t="shared" si="3"/>
        <v>1</v>
      </c>
      <c r="K40" s="122">
        <f>H40/H39</f>
        <v>1</v>
      </c>
      <c r="L40" s="121">
        <v>14</v>
      </c>
      <c r="M40" s="121">
        <v>18</v>
      </c>
      <c r="N40" s="121">
        <v>19</v>
      </c>
      <c r="O40" s="121">
        <v>19</v>
      </c>
      <c r="P40" s="121">
        <v>21</v>
      </c>
      <c r="Q40" s="122">
        <f t="shared" si="0"/>
        <v>0.10526315789473695</v>
      </c>
      <c r="R40" s="121">
        <f t="shared" si="1"/>
        <v>2</v>
      </c>
      <c r="S40" s="122">
        <f>P40/P39</f>
        <v>1</v>
      </c>
    </row>
    <row r="41" spans="2:19" x14ac:dyDescent="0.25">
      <c r="B41" s="123" t="s">
        <v>63</v>
      </c>
      <c r="C41" s="70">
        <v>5</v>
      </c>
      <c r="D41" s="70">
        <v>4</v>
      </c>
      <c r="E41" s="70">
        <v>7</v>
      </c>
      <c r="F41" s="70">
        <v>7</v>
      </c>
      <c r="G41" s="70">
        <v>7</v>
      </c>
      <c r="H41" s="70">
        <v>7</v>
      </c>
      <c r="I41" s="124">
        <f t="shared" si="2"/>
        <v>0</v>
      </c>
      <c r="J41" s="70">
        <f t="shared" si="3"/>
        <v>0</v>
      </c>
      <c r="K41" s="124">
        <f>H41/H39</f>
        <v>0.35</v>
      </c>
      <c r="L41" s="70">
        <v>7</v>
      </c>
      <c r="M41" s="70">
        <v>7</v>
      </c>
      <c r="N41" s="70">
        <v>7</v>
      </c>
      <c r="O41" s="70">
        <v>7</v>
      </c>
      <c r="P41" s="70">
        <v>8</v>
      </c>
      <c r="Q41" s="124">
        <f t="shared" si="0"/>
        <v>0.14285714285714279</v>
      </c>
      <c r="R41" s="70">
        <f t="shared" si="1"/>
        <v>1</v>
      </c>
      <c r="S41" s="124">
        <f>P41/P39</f>
        <v>0.38095238095238093</v>
      </c>
    </row>
    <row r="42" spans="2:19" x14ac:dyDescent="0.25">
      <c r="B42" s="123" t="s">
        <v>64</v>
      </c>
      <c r="C42" s="70">
        <v>18</v>
      </c>
      <c r="D42" s="70">
        <v>7</v>
      </c>
      <c r="E42" s="70">
        <v>6</v>
      </c>
      <c r="F42" s="70">
        <v>10</v>
      </c>
      <c r="G42" s="70">
        <v>12</v>
      </c>
      <c r="H42" s="70">
        <v>13</v>
      </c>
      <c r="I42" s="124">
        <f t="shared" si="2"/>
        <v>8.3333333333333259E-2</v>
      </c>
      <c r="J42" s="70">
        <f t="shared" si="3"/>
        <v>1</v>
      </c>
      <c r="K42" s="124">
        <f>H42/H39</f>
        <v>0.65</v>
      </c>
      <c r="L42" s="70">
        <v>7</v>
      </c>
      <c r="M42" s="70">
        <v>11</v>
      </c>
      <c r="N42" s="70">
        <v>12</v>
      </c>
      <c r="O42" s="70">
        <v>12</v>
      </c>
      <c r="P42" s="70">
        <v>13</v>
      </c>
      <c r="Q42" s="124">
        <f t="shared" si="0"/>
        <v>8.3333333333333259E-2</v>
      </c>
      <c r="R42" s="70">
        <f t="shared" si="1"/>
        <v>1</v>
      </c>
      <c r="S42" s="124">
        <f>P42/P39</f>
        <v>0.61904761904761907</v>
      </c>
    </row>
    <row r="43" spans="2:19" x14ac:dyDescent="0.25">
      <c r="B43" s="117" t="s">
        <v>54</v>
      </c>
      <c r="C43" s="125">
        <v>19</v>
      </c>
      <c r="D43" s="125">
        <v>9</v>
      </c>
      <c r="E43" s="125">
        <v>11</v>
      </c>
      <c r="F43" s="125">
        <v>14</v>
      </c>
      <c r="G43" s="125">
        <v>14</v>
      </c>
      <c r="H43" s="125">
        <v>14</v>
      </c>
      <c r="I43" s="126">
        <f t="shared" si="2"/>
        <v>0</v>
      </c>
      <c r="J43" s="125">
        <f t="shared" si="3"/>
        <v>0</v>
      </c>
      <c r="K43" s="119">
        <f>H43/H43</f>
        <v>1</v>
      </c>
      <c r="L43" s="125">
        <v>13</v>
      </c>
      <c r="M43" s="125">
        <v>14</v>
      </c>
      <c r="N43" s="125">
        <v>14</v>
      </c>
      <c r="O43" s="125">
        <v>14</v>
      </c>
      <c r="P43" s="125">
        <v>15</v>
      </c>
      <c r="Q43" s="126">
        <f t="shared" si="0"/>
        <v>7.1428571428571397E-2</v>
      </c>
      <c r="R43" s="125">
        <f t="shared" si="1"/>
        <v>1</v>
      </c>
      <c r="S43" s="119">
        <f>P43/P43</f>
        <v>1</v>
      </c>
    </row>
    <row r="44" spans="2:19" x14ac:dyDescent="0.25">
      <c r="B44" s="120" t="s">
        <v>62</v>
      </c>
      <c r="C44" s="121">
        <v>7</v>
      </c>
      <c r="D44" s="121">
        <v>4</v>
      </c>
      <c r="E44" s="121">
        <v>5</v>
      </c>
      <c r="F44" s="121">
        <v>8</v>
      </c>
      <c r="G44" s="121">
        <v>8</v>
      </c>
      <c r="H44" s="121">
        <v>8</v>
      </c>
      <c r="I44" s="122">
        <f t="shared" si="2"/>
        <v>0</v>
      </c>
      <c r="J44" s="121">
        <f t="shared" si="3"/>
        <v>0</v>
      </c>
      <c r="K44" s="122">
        <f>H44/H43</f>
        <v>0.5714285714285714</v>
      </c>
      <c r="L44" s="121">
        <v>7</v>
      </c>
      <c r="M44" s="121">
        <v>8</v>
      </c>
      <c r="N44" s="121">
        <v>8</v>
      </c>
      <c r="O44" s="121">
        <v>8</v>
      </c>
      <c r="P44" s="121">
        <v>8</v>
      </c>
      <c r="Q44" s="122">
        <f t="shared" si="0"/>
        <v>0</v>
      </c>
      <c r="R44" s="121">
        <f t="shared" si="1"/>
        <v>0</v>
      </c>
      <c r="S44" s="122">
        <f>P44/P43</f>
        <v>0.53333333333333333</v>
      </c>
    </row>
    <row r="45" spans="2:19" x14ac:dyDescent="0.25">
      <c r="B45" s="123" t="s">
        <v>63</v>
      </c>
      <c r="C45" s="70">
        <v>5</v>
      </c>
      <c r="D45" s="70">
        <v>0</v>
      </c>
      <c r="E45" s="70">
        <v>4</v>
      </c>
      <c r="F45" s="70">
        <v>6</v>
      </c>
      <c r="G45" s="70">
        <v>6</v>
      </c>
      <c r="H45" s="70">
        <v>6</v>
      </c>
      <c r="I45" s="124">
        <f t="shared" si="2"/>
        <v>0</v>
      </c>
      <c r="J45" s="70">
        <f t="shared" si="3"/>
        <v>0</v>
      </c>
      <c r="K45" s="124">
        <f>H45/H43</f>
        <v>0.42857142857142855</v>
      </c>
      <c r="L45" s="70">
        <v>5</v>
      </c>
      <c r="M45" s="70">
        <v>6</v>
      </c>
      <c r="N45" s="70">
        <v>6</v>
      </c>
      <c r="O45" s="70">
        <v>6</v>
      </c>
      <c r="P45" s="70">
        <v>6</v>
      </c>
      <c r="Q45" s="124">
        <f t="shared" si="0"/>
        <v>0</v>
      </c>
      <c r="R45" s="70">
        <f t="shared" si="1"/>
        <v>0</v>
      </c>
      <c r="S45" s="124">
        <f>P45/P43</f>
        <v>0.4</v>
      </c>
    </row>
    <row r="46" spans="2:19" x14ac:dyDescent="0.25">
      <c r="B46" s="123" t="s">
        <v>64</v>
      </c>
      <c r="C46" s="70">
        <v>2</v>
      </c>
      <c r="D46" s="70">
        <v>0</v>
      </c>
      <c r="E46" s="70">
        <v>2</v>
      </c>
      <c r="F46" s="70">
        <v>2</v>
      </c>
      <c r="G46" s="70">
        <v>2</v>
      </c>
      <c r="H46" s="70">
        <v>2</v>
      </c>
      <c r="I46" s="124">
        <f t="shared" si="2"/>
        <v>0</v>
      </c>
      <c r="J46" s="70">
        <f t="shared" si="3"/>
        <v>0</v>
      </c>
      <c r="K46" s="124">
        <f>H46/H43</f>
        <v>0.14285714285714285</v>
      </c>
      <c r="L46" s="70">
        <v>2</v>
      </c>
      <c r="M46" s="70">
        <v>2</v>
      </c>
      <c r="N46" s="70">
        <v>2</v>
      </c>
      <c r="O46" s="70">
        <v>2</v>
      </c>
      <c r="P46" s="70">
        <v>2</v>
      </c>
      <c r="Q46" s="124">
        <f t="shared" si="0"/>
        <v>0</v>
      </c>
      <c r="R46" s="70">
        <f t="shared" si="1"/>
        <v>0</v>
      </c>
      <c r="S46" s="124">
        <f>P46/P43</f>
        <v>0.13333333333333333</v>
      </c>
    </row>
    <row r="47" spans="2:19" x14ac:dyDescent="0.25">
      <c r="B47" s="120" t="s">
        <v>65</v>
      </c>
      <c r="C47" s="121">
        <v>12</v>
      </c>
      <c r="D47" s="121">
        <v>5</v>
      </c>
      <c r="E47" s="121">
        <v>6</v>
      </c>
      <c r="F47" s="121">
        <v>6</v>
      </c>
      <c r="G47" s="121">
        <v>6</v>
      </c>
      <c r="H47" s="121">
        <v>6</v>
      </c>
      <c r="I47" s="122">
        <f t="shared" si="2"/>
        <v>0</v>
      </c>
      <c r="J47" s="121">
        <f t="shared" si="3"/>
        <v>0</v>
      </c>
      <c r="K47" s="122">
        <f>H47/H43</f>
        <v>0.42857142857142855</v>
      </c>
      <c r="L47" s="121">
        <v>6</v>
      </c>
      <c r="M47" s="121">
        <v>6</v>
      </c>
      <c r="N47" s="121">
        <v>6</v>
      </c>
      <c r="O47" s="121">
        <v>6</v>
      </c>
      <c r="P47" s="121">
        <v>7</v>
      </c>
      <c r="Q47" s="122">
        <f t="shared" si="0"/>
        <v>0.16666666666666674</v>
      </c>
      <c r="R47" s="121">
        <f t="shared" si="1"/>
        <v>1</v>
      </c>
      <c r="S47" s="122">
        <f>P47/P43</f>
        <v>0.46666666666666667</v>
      </c>
    </row>
    <row r="48" spans="2:19" x14ac:dyDescent="0.25">
      <c r="B48" s="117" t="s">
        <v>55</v>
      </c>
      <c r="C48" s="125">
        <v>22</v>
      </c>
      <c r="D48" s="125">
        <v>11</v>
      </c>
      <c r="E48" s="125">
        <v>13</v>
      </c>
      <c r="F48" s="125">
        <v>16</v>
      </c>
      <c r="G48" s="125">
        <v>16</v>
      </c>
      <c r="H48" s="125">
        <v>18</v>
      </c>
      <c r="I48" s="126">
        <f t="shared" si="2"/>
        <v>0.125</v>
      </c>
      <c r="J48" s="125">
        <f t="shared" si="3"/>
        <v>2</v>
      </c>
      <c r="K48" s="119">
        <f>H48/H48</f>
        <v>1</v>
      </c>
      <c r="L48" s="125">
        <v>13</v>
      </c>
      <c r="M48" s="125">
        <v>16</v>
      </c>
      <c r="N48" s="125">
        <v>16</v>
      </c>
      <c r="O48" s="125">
        <v>19</v>
      </c>
      <c r="P48" s="125">
        <v>19</v>
      </c>
      <c r="Q48" s="126">
        <f t="shared" si="0"/>
        <v>0</v>
      </c>
      <c r="R48" s="125">
        <f t="shared" si="1"/>
        <v>0</v>
      </c>
      <c r="S48" s="119">
        <f>P48/P48</f>
        <v>1</v>
      </c>
    </row>
    <row r="49" spans="2:19" x14ac:dyDescent="0.25">
      <c r="B49" s="120" t="s">
        <v>62</v>
      </c>
      <c r="C49" s="121">
        <v>18</v>
      </c>
      <c r="D49" s="121">
        <v>9</v>
      </c>
      <c r="E49" s="121">
        <v>12</v>
      </c>
      <c r="F49" s="121">
        <v>14</v>
      </c>
      <c r="G49" s="121">
        <v>13</v>
      </c>
      <c r="H49" s="121">
        <v>15</v>
      </c>
      <c r="I49" s="122">
        <f t="shared" si="2"/>
        <v>0.15384615384615374</v>
      </c>
      <c r="J49" s="121">
        <f t="shared" si="3"/>
        <v>2</v>
      </c>
      <c r="K49" s="122">
        <f>H49/H48</f>
        <v>0.83333333333333337</v>
      </c>
      <c r="L49" s="121">
        <v>12</v>
      </c>
      <c r="M49" s="121">
        <v>14</v>
      </c>
      <c r="N49" s="121">
        <v>13</v>
      </c>
      <c r="O49" s="121">
        <v>16</v>
      </c>
      <c r="P49" s="121">
        <v>16</v>
      </c>
      <c r="Q49" s="122">
        <f t="shared" si="0"/>
        <v>0</v>
      </c>
      <c r="R49" s="121">
        <f t="shared" si="1"/>
        <v>0</v>
      </c>
      <c r="S49" s="122">
        <f>P49/P48</f>
        <v>0.84210526315789469</v>
      </c>
    </row>
    <row r="50" spans="2:19" x14ac:dyDescent="0.25">
      <c r="B50" s="123" t="s">
        <v>63</v>
      </c>
      <c r="C50" s="70">
        <v>9</v>
      </c>
      <c r="D50" s="70">
        <v>5</v>
      </c>
      <c r="E50" s="70">
        <v>8</v>
      </c>
      <c r="F50" s="70">
        <v>8</v>
      </c>
      <c r="G50" s="70">
        <v>8</v>
      </c>
      <c r="H50" s="70">
        <v>8</v>
      </c>
      <c r="I50" s="124">
        <f t="shared" si="2"/>
        <v>0</v>
      </c>
      <c r="J50" s="70">
        <f t="shared" si="3"/>
        <v>0</v>
      </c>
      <c r="K50" s="124">
        <f>H50/H48</f>
        <v>0.44444444444444442</v>
      </c>
      <c r="L50" s="70">
        <v>8</v>
      </c>
      <c r="M50" s="70">
        <v>8</v>
      </c>
      <c r="N50" s="70">
        <v>8</v>
      </c>
      <c r="O50" s="70">
        <v>8</v>
      </c>
      <c r="P50" s="70">
        <v>8</v>
      </c>
      <c r="Q50" s="124">
        <f t="shared" si="0"/>
        <v>0</v>
      </c>
      <c r="R50" s="70">
        <f t="shared" si="1"/>
        <v>0</v>
      </c>
      <c r="S50" s="124">
        <f>P50/P48</f>
        <v>0.42105263157894735</v>
      </c>
    </row>
    <row r="51" spans="2:19" x14ac:dyDescent="0.25">
      <c r="B51" s="123" t="s">
        <v>64</v>
      </c>
      <c r="C51" s="70">
        <v>9</v>
      </c>
      <c r="D51" s="70">
        <v>4</v>
      </c>
      <c r="E51" s="70">
        <v>4</v>
      </c>
      <c r="F51" s="70">
        <v>6</v>
      </c>
      <c r="G51" s="70">
        <v>5</v>
      </c>
      <c r="H51" s="70">
        <v>7</v>
      </c>
      <c r="I51" s="124">
        <f t="shared" si="2"/>
        <v>0.39999999999999991</v>
      </c>
      <c r="J51" s="70">
        <f t="shared" si="3"/>
        <v>2</v>
      </c>
      <c r="K51" s="124">
        <f>H51/H48</f>
        <v>0.3888888888888889</v>
      </c>
      <c r="L51" s="70">
        <v>4</v>
      </c>
      <c r="M51" s="70">
        <v>6</v>
      </c>
      <c r="N51" s="70">
        <v>5</v>
      </c>
      <c r="O51" s="70">
        <v>8</v>
      </c>
      <c r="P51" s="70">
        <v>8</v>
      </c>
      <c r="Q51" s="124">
        <f t="shared" si="0"/>
        <v>0</v>
      </c>
      <c r="R51" s="70">
        <f t="shared" si="1"/>
        <v>0</v>
      </c>
      <c r="S51" s="124">
        <f>P51/P48</f>
        <v>0.42105263157894735</v>
      </c>
    </row>
    <row r="52" spans="2:19" x14ac:dyDescent="0.25">
      <c r="B52" s="120" t="s">
        <v>65</v>
      </c>
      <c r="C52" s="121">
        <v>5</v>
      </c>
      <c r="D52" s="121">
        <v>2</v>
      </c>
      <c r="E52" s="121">
        <v>2</v>
      </c>
      <c r="F52" s="121">
        <v>3</v>
      </c>
      <c r="G52" s="121">
        <v>4</v>
      </c>
      <c r="H52" s="121">
        <v>4</v>
      </c>
      <c r="I52" s="122">
        <f t="shared" si="2"/>
        <v>0</v>
      </c>
      <c r="J52" s="121">
        <f t="shared" si="3"/>
        <v>0</v>
      </c>
      <c r="K52" s="122">
        <f>H52/H48</f>
        <v>0.22222222222222221</v>
      </c>
      <c r="L52" s="121">
        <v>2</v>
      </c>
      <c r="M52" s="121">
        <v>3</v>
      </c>
      <c r="N52" s="121">
        <v>4</v>
      </c>
      <c r="O52" s="121">
        <v>4</v>
      </c>
      <c r="P52" s="121">
        <v>4</v>
      </c>
      <c r="Q52" s="122">
        <f t="shared" si="0"/>
        <v>0</v>
      </c>
      <c r="R52" s="121">
        <f t="shared" si="1"/>
        <v>0</v>
      </c>
      <c r="S52" s="122">
        <f>P52/P48</f>
        <v>0.21052631578947367</v>
      </c>
    </row>
    <row r="53" spans="2:19" ht="4.5" customHeight="1" x14ac:dyDescent="0.25">
      <c r="B53" s="127"/>
      <c r="C53" s="128"/>
      <c r="D53" s="128"/>
      <c r="E53" s="128"/>
      <c r="F53" s="128"/>
      <c r="G53" s="129"/>
      <c r="H53" s="128"/>
      <c r="I53" s="130"/>
      <c r="J53" s="128"/>
      <c r="K53" s="130"/>
      <c r="L53" s="128"/>
      <c r="M53" s="128"/>
      <c r="N53" s="128"/>
      <c r="O53" s="128"/>
      <c r="P53" s="130"/>
      <c r="Q53" s="130"/>
      <c r="R53" s="130"/>
    </row>
    <row r="54" spans="2:19" x14ac:dyDescent="0.25">
      <c r="B54" s="131" t="s">
        <v>57</v>
      </c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</row>
  </sheetData>
  <mergeCells count="2">
    <mergeCell ref="C5:H5"/>
    <mergeCell ref="L5:P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58FA1-DEAB-478A-9579-A80C54E37D18}">
  <sheetPr>
    <tabColor theme="7"/>
  </sheetPr>
  <dimension ref="A4:A24"/>
  <sheetViews>
    <sheetView showGridLines="0" workbookViewId="0">
      <selection activeCell="G10" sqref="G10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EAAC9-86AF-49CB-B0BD-DC7BAF22BF25}">
  <sheetPr>
    <tabColor theme="7" tint="0.79998168889431442"/>
  </sheetPr>
  <dimension ref="A4:O290"/>
  <sheetViews>
    <sheetView showGridLines="0" zoomScaleNormal="100" workbookViewId="0">
      <selection activeCell="G10" sqref="G10"/>
    </sheetView>
  </sheetViews>
  <sheetFormatPr baseColWidth="10" defaultColWidth="11.42578125" defaultRowHeight="15" x14ac:dyDescent="0.25"/>
  <cols>
    <col min="1" max="1" width="15.28515625" customWidth="1"/>
    <col min="14" max="14" width="13.5703125" bestFit="1" customWidth="1"/>
  </cols>
  <sheetData>
    <row r="4" spans="1:15" ht="48.75" customHeight="1" thickBot="1" x14ac:dyDescent="0.3">
      <c r="B4" s="12" t="s">
        <v>238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" t="s">
        <v>68</v>
      </c>
    </row>
    <row r="5" spans="1:15" ht="10.5" customHeight="1" thickBot="1" x14ac:dyDescent="0.3">
      <c r="B5" s="132"/>
      <c r="C5" s="133"/>
      <c r="D5" s="132"/>
      <c r="E5" s="132"/>
      <c r="F5" s="132"/>
      <c r="G5" s="132"/>
      <c r="H5" s="132"/>
      <c r="I5" s="132"/>
      <c r="J5" s="132"/>
      <c r="K5" s="132"/>
      <c r="L5" s="132"/>
      <c r="M5" s="4"/>
      <c r="N5" s="4"/>
      <c r="O5" s="1" t="s">
        <v>69</v>
      </c>
    </row>
    <row r="6" spans="1:15" ht="22.5" thickTop="1" thickBot="1" x14ac:dyDescent="0.3">
      <c r="B6" s="134" t="s">
        <v>32</v>
      </c>
      <c r="C6" s="135" t="s">
        <v>70</v>
      </c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1:15" ht="22.5" thickTop="1" thickBot="1" x14ac:dyDescent="0.3">
      <c r="B7" s="137"/>
      <c r="C7" s="138">
        <f>E7-1</f>
        <v>2020</v>
      </c>
      <c r="D7" s="139"/>
      <c r="E7" s="140">
        <f>G7-1</f>
        <v>2021</v>
      </c>
      <c r="F7" s="139"/>
      <c r="G7" s="140">
        <f>I7-1</f>
        <v>2022</v>
      </c>
      <c r="H7" s="139"/>
      <c r="I7" s="140">
        <f>K7-1</f>
        <v>2023</v>
      </c>
      <c r="J7" s="139"/>
      <c r="K7" s="140">
        <f>M7-1</f>
        <v>2024</v>
      </c>
      <c r="L7" s="139"/>
      <c r="M7" s="140">
        <v>2025</v>
      </c>
      <c r="N7" s="141"/>
    </row>
    <row r="8" spans="1:15" ht="16.5" thickTop="1" thickBot="1" x14ac:dyDescent="0.3">
      <c r="B8" s="109"/>
      <c r="C8" s="142" t="s">
        <v>71</v>
      </c>
      <c r="D8" s="143" t="str">
        <f>CONCATENATE("var ",RIGHT(C7,2),"/",RIGHT(C7-1,2))</f>
        <v>var 20/19</v>
      </c>
      <c r="E8" s="144" t="s">
        <v>71</v>
      </c>
      <c r="F8" s="143" t="str">
        <f>CONCATENATE("var ",RIGHT(E7,2),"/",RIGHT(E7-1,2))</f>
        <v>var 21/20</v>
      </c>
      <c r="G8" s="144" t="s">
        <v>71</v>
      </c>
      <c r="H8" s="143" t="str">
        <f>CONCATENATE("var ",RIGHT(G7,2),"/",RIGHT(G7-1,2))</f>
        <v>var 22/21</v>
      </c>
      <c r="I8" s="144" t="s">
        <v>71</v>
      </c>
      <c r="J8" s="143" t="str">
        <f>CONCATENATE("var ",RIGHT(I7,2),"/",RIGHT(I7-1,2))</f>
        <v>var 23/22</v>
      </c>
      <c r="K8" s="144" t="s">
        <v>71</v>
      </c>
      <c r="L8" s="143" t="str">
        <f>CONCATENATE("var ",RIGHT(K7,2),"/",RIGHT(K7-1,2))</f>
        <v>var 24/23</v>
      </c>
      <c r="M8" s="144" t="s">
        <v>71</v>
      </c>
      <c r="N8" s="143" t="str">
        <f>CONCATENATE("var ",RIGHT(M7,2),"/",RIGHT(M7-1,2))</f>
        <v>var 25/24</v>
      </c>
    </row>
    <row r="9" spans="1:15" x14ac:dyDescent="0.25">
      <c r="A9" s="1" t="s">
        <v>72</v>
      </c>
      <c r="B9" s="145" t="s">
        <v>73</v>
      </c>
      <c r="C9" s="146">
        <v>21031</v>
      </c>
      <c r="D9" s="147">
        <v>6.5400202634245286E-2</v>
      </c>
      <c r="E9" s="146">
        <v>6223</v>
      </c>
      <c r="F9" s="147">
        <f t="shared" ref="F9:L21" si="0">IFERROR(E9/C9-1,"-")</f>
        <v>-0.70410346631163523</v>
      </c>
      <c r="G9" s="146">
        <v>15598</v>
      </c>
      <c r="H9" s="147">
        <f>IFERROR(G9/E9-1,"-")</f>
        <v>1.5065081150570463</v>
      </c>
      <c r="I9" s="146">
        <v>22490</v>
      </c>
      <c r="J9" s="147">
        <f t="shared" si="0"/>
        <v>0.44185151942556744</v>
      </c>
      <c r="K9" s="146">
        <v>22650</v>
      </c>
      <c r="L9" s="147">
        <f t="shared" si="0"/>
        <v>7.1142730102267127E-3</v>
      </c>
      <c r="M9" s="146">
        <v>22528</v>
      </c>
      <c r="N9" s="147">
        <f t="shared" ref="N9:N17" si="1">IFERROR(M9/K9-1,"-")</f>
        <v>-5.3863134657836653E-3</v>
      </c>
    </row>
    <row r="10" spans="1:15" x14ac:dyDescent="0.25">
      <c r="A10" s="1" t="s">
        <v>74</v>
      </c>
      <c r="B10" s="145" t="s">
        <v>75</v>
      </c>
      <c r="C10" s="146">
        <v>22403</v>
      </c>
      <c r="D10" s="147">
        <v>0.16542683244030587</v>
      </c>
      <c r="E10" s="146">
        <v>5135</v>
      </c>
      <c r="F10" s="147">
        <f t="shared" si="0"/>
        <v>-0.7707896263893228</v>
      </c>
      <c r="G10" s="146">
        <v>21666</v>
      </c>
      <c r="H10" s="147">
        <f t="shared" si="0"/>
        <v>3.2192794547224928</v>
      </c>
      <c r="I10" s="146">
        <v>23086</v>
      </c>
      <c r="J10" s="147">
        <f t="shared" si="0"/>
        <v>6.5540478168559124E-2</v>
      </c>
      <c r="K10" s="146">
        <v>23921</v>
      </c>
      <c r="L10" s="147">
        <f t="shared" si="0"/>
        <v>3.6169106817985019E-2</v>
      </c>
      <c r="M10" s="146">
        <v>23285</v>
      </c>
      <c r="N10" s="147">
        <f t="shared" si="1"/>
        <v>-2.6587517244262338E-2</v>
      </c>
    </row>
    <row r="11" spans="1:15" x14ac:dyDescent="0.25">
      <c r="A11" s="1" t="s">
        <v>76</v>
      </c>
      <c r="B11" s="145" t="s">
        <v>77</v>
      </c>
      <c r="C11" s="146">
        <v>8865</v>
      </c>
      <c r="D11" s="147">
        <v>-0.59655031174623407</v>
      </c>
      <c r="E11" s="146">
        <v>5413</v>
      </c>
      <c r="F11" s="147">
        <f t="shared" si="0"/>
        <v>-0.38939650310208684</v>
      </c>
      <c r="G11" s="146">
        <v>22231</v>
      </c>
      <c r="H11" s="147">
        <f t="shared" si="0"/>
        <v>3.1069647145760211</v>
      </c>
      <c r="I11" s="146">
        <v>21689</v>
      </c>
      <c r="J11" s="147">
        <f t="shared" si="0"/>
        <v>-2.4380369753947195E-2</v>
      </c>
      <c r="K11" s="146">
        <v>27356</v>
      </c>
      <c r="L11" s="147">
        <f t="shared" si="0"/>
        <v>0.26128452210798092</v>
      </c>
      <c r="M11" s="146">
        <v>24054</v>
      </c>
      <c r="N11" s="147">
        <f t="shared" si="1"/>
        <v>-0.12070478140078955</v>
      </c>
    </row>
    <row r="12" spans="1:15" x14ac:dyDescent="0.25">
      <c r="A12" s="1" t="s">
        <v>78</v>
      </c>
      <c r="B12" s="145" t="s">
        <v>79</v>
      </c>
      <c r="C12" s="146">
        <v>0</v>
      </c>
      <c r="D12" s="147">
        <v>-1</v>
      </c>
      <c r="E12" s="146">
        <v>6463</v>
      </c>
      <c r="F12" s="147" t="str">
        <f t="shared" si="0"/>
        <v>-</v>
      </c>
      <c r="G12" s="146">
        <v>23894</v>
      </c>
      <c r="H12" s="147">
        <f t="shared" si="0"/>
        <v>2.6970447160761255</v>
      </c>
      <c r="I12" s="146">
        <v>23484</v>
      </c>
      <c r="J12" s="147">
        <f t="shared" si="0"/>
        <v>-1.715911944421189E-2</v>
      </c>
      <c r="K12" s="146">
        <v>22205</v>
      </c>
      <c r="L12" s="147">
        <f t="shared" si="0"/>
        <v>-5.4462612842786529E-2</v>
      </c>
      <c r="M12" s="146">
        <v>23503</v>
      </c>
      <c r="N12" s="147">
        <f t="shared" si="1"/>
        <v>5.845530285971634E-2</v>
      </c>
    </row>
    <row r="13" spans="1:15" x14ac:dyDescent="0.25">
      <c r="A13" s="1" t="s">
        <v>80</v>
      </c>
      <c r="B13" s="145" t="s">
        <v>81</v>
      </c>
      <c r="C13" s="146">
        <v>0</v>
      </c>
      <c r="D13" s="147">
        <v>-1</v>
      </c>
      <c r="E13" s="146">
        <v>6823</v>
      </c>
      <c r="F13" s="147" t="str">
        <f t="shared" si="0"/>
        <v>-</v>
      </c>
      <c r="G13" s="146">
        <v>20251</v>
      </c>
      <c r="H13" s="147">
        <f t="shared" si="0"/>
        <v>1.9680492452000586</v>
      </c>
      <c r="I13" s="146">
        <v>21547</v>
      </c>
      <c r="J13" s="147">
        <f t="shared" si="0"/>
        <v>6.3996839662238791E-2</v>
      </c>
      <c r="K13" s="146">
        <v>23449</v>
      </c>
      <c r="L13" s="147">
        <f t="shared" si="0"/>
        <v>8.8272149255116616E-2</v>
      </c>
      <c r="M13" s="146">
        <v>19536</v>
      </c>
      <c r="N13" s="147">
        <f t="shared" si="1"/>
        <v>-0.16687278775214298</v>
      </c>
    </row>
    <row r="14" spans="1:15" x14ac:dyDescent="0.25">
      <c r="A14" s="1" t="s">
        <v>82</v>
      </c>
      <c r="B14" s="145" t="s">
        <v>83</v>
      </c>
      <c r="C14" s="146">
        <v>0</v>
      </c>
      <c r="D14" s="147">
        <v>-1</v>
      </c>
      <c r="E14" s="146">
        <v>3802</v>
      </c>
      <c r="F14" s="147" t="str">
        <f t="shared" si="0"/>
        <v>-</v>
      </c>
      <c r="G14" s="146">
        <v>18886</v>
      </c>
      <c r="H14" s="147">
        <f t="shared" si="0"/>
        <v>3.9673855865334033</v>
      </c>
      <c r="I14" s="146">
        <v>21065</v>
      </c>
      <c r="J14" s="147">
        <f t="shared" si="0"/>
        <v>0.11537646934237</v>
      </c>
      <c r="K14" s="146">
        <v>22841</v>
      </c>
      <c r="L14" s="147">
        <f t="shared" si="0"/>
        <v>8.4310467600284822E-2</v>
      </c>
      <c r="M14" s="146">
        <v>23159</v>
      </c>
      <c r="N14" s="147">
        <f t="shared" si="1"/>
        <v>1.3922332647432256E-2</v>
      </c>
    </row>
    <row r="15" spans="1:15" x14ac:dyDescent="0.25">
      <c r="A15" s="1" t="s">
        <v>84</v>
      </c>
      <c r="B15" s="145" t="s">
        <v>85</v>
      </c>
      <c r="C15" s="146">
        <v>0</v>
      </c>
      <c r="D15" s="147">
        <v>-1</v>
      </c>
      <c r="E15" s="146">
        <v>10219</v>
      </c>
      <c r="F15" s="147" t="str">
        <f t="shared" si="0"/>
        <v>-</v>
      </c>
      <c r="G15" s="146">
        <v>23111</v>
      </c>
      <c r="H15" s="147">
        <f t="shared" si="0"/>
        <v>1.2615715823466092</v>
      </c>
      <c r="I15" s="146">
        <v>24276</v>
      </c>
      <c r="J15" s="147">
        <f t="shared" si="0"/>
        <v>5.040889619661626E-2</v>
      </c>
      <c r="K15" s="146">
        <v>24893</v>
      </c>
      <c r="L15" s="147">
        <f t="shared" si="0"/>
        <v>2.5416048772450184E-2</v>
      </c>
      <c r="M15" s="146">
        <v>27952</v>
      </c>
      <c r="N15" s="147">
        <f t="shared" si="1"/>
        <v>0.12288595187402085</v>
      </c>
    </row>
    <row r="16" spans="1:15" x14ac:dyDescent="0.25">
      <c r="A16" s="1" t="s">
        <v>86</v>
      </c>
      <c r="B16" s="145" t="s">
        <v>87</v>
      </c>
      <c r="C16" s="146">
        <v>13295</v>
      </c>
      <c r="D16" s="147">
        <v>-0.46193694605204583</v>
      </c>
      <c r="E16" s="146">
        <v>18239</v>
      </c>
      <c r="F16" s="147">
        <f t="shared" si="0"/>
        <v>0.37186912373072589</v>
      </c>
      <c r="G16" s="146">
        <v>24659</v>
      </c>
      <c r="H16" s="147">
        <f t="shared" si="0"/>
        <v>0.35199298207138541</v>
      </c>
      <c r="I16" s="146">
        <v>25495</v>
      </c>
      <c r="J16" s="147">
        <f t="shared" si="0"/>
        <v>3.3902429133379375E-2</v>
      </c>
      <c r="K16" s="146">
        <v>25319</v>
      </c>
      <c r="L16" s="147">
        <f t="shared" si="0"/>
        <v>-6.9033143753677306E-3</v>
      </c>
      <c r="M16" s="146">
        <v>25459</v>
      </c>
      <c r="N16" s="147">
        <f t="shared" si="1"/>
        <v>5.5294442908486729E-3</v>
      </c>
    </row>
    <row r="17" spans="1:15" x14ac:dyDescent="0.25">
      <c r="A17" s="1" t="s">
        <v>88</v>
      </c>
      <c r="B17" s="145" t="s">
        <v>89</v>
      </c>
      <c r="C17" s="146">
        <v>5725</v>
      </c>
      <c r="D17" s="147">
        <v>-0.74152331933721616</v>
      </c>
      <c r="E17" s="146">
        <v>15267</v>
      </c>
      <c r="F17" s="147">
        <f t="shared" si="0"/>
        <v>1.6667248908296943</v>
      </c>
      <c r="G17" s="146">
        <v>20130</v>
      </c>
      <c r="H17" s="147">
        <f t="shared" si="0"/>
        <v>0.31853016309687554</v>
      </c>
      <c r="I17" s="146">
        <v>22106</v>
      </c>
      <c r="J17" s="147">
        <f t="shared" si="0"/>
        <v>9.8161947342275235E-2</v>
      </c>
      <c r="K17" s="146">
        <v>21182</v>
      </c>
      <c r="L17" s="147">
        <f t="shared" si="0"/>
        <v>-4.1798606713109532E-2</v>
      </c>
      <c r="M17" s="146">
        <v>24257</v>
      </c>
      <c r="N17" s="147">
        <f t="shared" si="1"/>
        <v>0.14517042772165056</v>
      </c>
    </row>
    <row r="18" spans="1:15" x14ac:dyDescent="0.25">
      <c r="A18" s="1" t="s">
        <v>90</v>
      </c>
      <c r="B18" s="145" t="s">
        <v>91</v>
      </c>
      <c r="C18" s="146">
        <v>6665</v>
      </c>
      <c r="D18" s="147">
        <v>-0.70771389729421563</v>
      </c>
      <c r="E18" s="146">
        <v>23140</v>
      </c>
      <c r="F18" s="147">
        <f t="shared" si="0"/>
        <v>2.471867966991748</v>
      </c>
      <c r="G18" s="146">
        <v>22327</v>
      </c>
      <c r="H18" s="147">
        <f t="shared" si="0"/>
        <v>-3.5133967156439017E-2</v>
      </c>
      <c r="I18" s="146">
        <v>25007</v>
      </c>
      <c r="J18" s="147">
        <f t="shared" si="0"/>
        <v>0.12003403950373981</v>
      </c>
      <c r="K18" s="146">
        <v>27341</v>
      </c>
      <c r="L18" s="147">
        <f t="shared" si="0"/>
        <v>9.3333866517375075E-2</v>
      </c>
      <c r="M18" s="146"/>
      <c r="N18" s="147"/>
    </row>
    <row r="19" spans="1:15" x14ac:dyDescent="0.25">
      <c r="A19" s="1" t="s">
        <v>92</v>
      </c>
      <c r="B19" s="145" t="s">
        <v>93</v>
      </c>
      <c r="C19" s="146">
        <v>4928</v>
      </c>
      <c r="D19" s="147">
        <v>-0.74807013956341706</v>
      </c>
      <c r="E19" s="146">
        <v>19838</v>
      </c>
      <c r="F19" s="147">
        <f t="shared" si="0"/>
        <v>3.0255681818181817</v>
      </c>
      <c r="G19" s="146">
        <v>21079</v>
      </c>
      <c r="H19" s="147">
        <f t="shared" si="0"/>
        <v>6.2556709345700234E-2</v>
      </c>
      <c r="I19" s="146">
        <v>24207</v>
      </c>
      <c r="J19" s="147">
        <f t="shared" si="0"/>
        <v>0.14839413634422893</v>
      </c>
      <c r="K19" s="146">
        <v>23363</v>
      </c>
      <c r="L19" s="147">
        <f t="shared" si="0"/>
        <v>-3.4865947866319691E-2</v>
      </c>
      <c r="M19" s="146"/>
      <c r="N19" s="147"/>
    </row>
    <row r="20" spans="1:15" x14ac:dyDescent="0.25">
      <c r="A20" s="1" t="s">
        <v>94</v>
      </c>
      <c r="B20" s="145" t="s">
        <v>95</v>
      </c>
      <c r="C20" s="146">
        <v>6261</v>
      </c>
      <c r="D20" s="147">
        <v>-0.70148755602174118</v>
      </c>
      <c r="E20" s="146">
        <v>19784</v>
      </c>
      <c r="F20" s="147">
        <f t="shared" si="0"/>
        <v>2.1598786136399934</v>
      </c>
      <c r="G20" s="146">
        <v>23285</v>
      </c>
      <c r="H20" s="147">
        <f t="shared" si="0"/>
        <v>0.17696118075212297</v>
      </c>
      <c r="I20" s="146">
        <v>24142</v>
      </c>
      <c r="J20" s="147">
        <f t="shared" si="0"/>
        <v>3.6804809963495888E-2</v>
      </c>
      <c r="K20" s="146">
        <v>23290</v>
      </c>
      <c r="L20" s="147">
        <f t="shared" si="0"/>
        <v>-3.5291193770193074E-2</v>
      </c>
      <c r="M20" s="146"/>
      <c r="N20" s="147"/>
    </row>
    <row r="21" spans="1:15" ht="15.75" x14ac:dyDescent="0.25">
      <c r="A21" s="1" t="s">
        <v>0</v>
      </c>
      <c r="B21" s="148" t="s">
        <v>32</v>
      </c>
      <c r="C21" s="149">
        <v>96681</v>
      </c>
      <c r="D21" s="150">
        <v>-0.61362219451371569</v>
      </c>
      <c r="E21" s="149">
        <v>140346</v>
      </c>
      <c r="F21" s="150">
        <f t="shared" si="0"/>
        <v>0.45163992925186958</v>
      </c>
      <c r="G21" s="149">
        <v>257117</v>
      </c>
      <c r="H21" s="150">
        <f t="shared" si="0"/>
        <v>0.83202228777450027</v>
      </c>
      <c r="I21" s="149">
        <v>278594</v>
      </c>
      <c r="J21" s="150">
        <f t="shared" si="0"/>
        <v>8.3530066078866927E-2</v>
      </c>
      <c r="K21" s="149">
        <v>287810</v>
      </c>
      <c r="L21" s="150">
        <f t="shared" si="0"/>
        <v>3.3080396562739978E-2</v>
      </c>
      <c r="M21" s="149">
        <v>213733</v>
      </c>
      <c r="N21" s="150">
        <v>-3.8818423317243944E-4</v>
      </c>
    </row>
    <row r="22" spans="1:15" ht="6" customHeight="1" x14ac:dyDescent="0.25"/>
    <row r="23" spans="1:15" x14ac:dyDescent="0.25">
      <c r="B23" s="131" t="s">
        <v>57</v>
      </c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</row>
    <row r="24" spans="1:15" x14ac:dyDescent="0.25">
      <c r="E24" s="151"/>
      <c r="G24" s="151"/>
      <c r="I24" s="151"/>
      <c r="K24" s="151"/>
      <c r="N24" s="103"/>
    </row>
    <row r="26" spans="1:15" ht="48.75" customHeight="1" thickBot="1" x14ac:dyDescent="0.3">
      <c r="B26" s="12" t="s">
        <v>239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" t="s">
        <v>96</v>
      </c>
    </row>
    <row r="27" spans="1:15" ht="10.5" customHeight="1" thickBot="1" x14ac:dyDescent="0.3">
      <c r="B27" s="132"/>
      <c r="C27" s="133"/>
      <c r="D27" s="132"/>
      <c r="E27" s="132"/>
      <c r="F27" s="132"/>
      <c r="G27" s="132"/>
      <c r="H27" s="132"/>
      <c r="I27" s="132"/>
      <c r="J27" s="132"/>
      <c r="K27" s="132"/>
      <c r="L27" s="132"/>
      <c r="M27" s="4"/>
      <c r="N27" s="4"/>
      <c r="O27" s="1" t="s">
        <v>97</v>
      </c>
    </row>
    <row r="28" spans="1:15" ht="22.5" thickTop="1" thickBot="1" x14ac:dyDescent="0.3">
      <c r="B28" s="152" t="s">
        <v>98</v>
      </c>
      <c r="C28" s="135" t="s">
        <v>99</v>
      </c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</row>
    <row r="29" spans="1:15" ht="22.5" thickTop="1" thickBot="1" x14ac:dyDescent="0.3">
      <c r="B29" s="137"/>
      <c r="C29" s="138">
        <f>C$7</f>
        <v>2020</v>
      </c>
      <c r="D29" s="139"/>
      <c r="E29" s="138">
        <f>E$7</f>
        <v>2021</v>
      </c>
      <c r="F29" s="139"/>
      <c r="G29" s="138">
        <f>G$7</f>
        <v>2022</v>
      </c>
      <c r="H29" s="139"/>
      <c r="I29" s="138">
        <f>I$7</f>
        <v>2023</v>
      </c>
      <c r="J29" s="139"/>
      <c r="K29" s="138">
        <f>K$7</f>
        <v>2024</v>
      </c>
      <c r="L29" s="139"/>
      <c r="M29" s="138">
        <f>M$7</f>
        <v>2025</v>
      </c>
      <c r="N29" s="139"/>
    </row>
    <row r="30" spans="1:15" ht="16.5" thickTop="1" thickBot="1" x14ac:dyDescent="0.3">
      <c r="B30" s="109"/>
      <c r="C30" s="142" t="s">
        <v>71</v>
      </c>
      <c r="D30" s="143" t="str">
        <f>CONCATENATE("var ",RIGHT(C29,2),"/",RIGHT(C29-1,2))</f>
        <v>var 20/19</v>
      </c>
      <c r="E30" s="144" t="s">
        <v>71</v>
      </c>
      <c r="F30" s="143" t="str">
        <f>CONCATENATE("var ",RIGHT(E29,2),"/",RIGHT(E29-1,2))</f>
        <v>var 21/20</v>
      </c>
      <c r="G30" s="144" t="s">
        <v>71</v>
      </c>
      <c r="H30" s="143" t="str">
        <f>CONCATENATE("var ",RIGHT(G29,2),"/",RIGHT(G29-1,2))</f>
        <v>var 22/21</v>
      </c>
      <c r="I30" s="144" t="s">
        <v>71</v>
      </c>
      <c r="J30" s="143" t="str">
        <f>CONCATENATE("var ",RIGHT(I29,2),"/",RIGHT(I29-1,2))</f>
        <v>var 23/22</v>
      </c>
      <c r="K30" s="144" t="s">
        <v>71</v>
      </c>
      <c r="L30" s="143" t="str">
        <f>CONCATENATE("var ",RIGHT(K29,2),"/",RIGHT(K29-1,2))</f>
        <v>var 24/23</v>
      </c>
      <c r="M30" s="144" t="s">
        <v>71</v>
      </c>
      <c r="N30" s="143" t="str">
        <f>CONCATENATE("var ",RIGHT(M29,2),"/",RIGHT(M29-1,2))</f>
        <v>var 25/24</v>
      </c>
    </row>
    <row r="31" spans="1:15" x14ac:dyDescent="0.25">
      <c r="B31" s="145" t="s">
        <v>73</v>
      </c>
      <c r="C31" s="146">
        <v>827</v>
      </c>
      <c r="D31" s="147">
        <v>-0.49201474201474205</v>
      </c>
      <c r="E31" s="146">
        <v>3353</v>
      </c>
      <c r="F31" s="147">
        <f t="shared" ref="F31:L43" si="2">IFERROR(E31/C31-1,"-")</f>
        <v>3.0544135429262393</v>
      </c>
      <c r="G31" s="146">
        <v>744</v>
      </c>
      <c r="H31" s="147">
        <f t="shared" si="2"/>
        <v>-0.77810915597971964</v>
      </c>
      <c r="I31" s="146">
        <v>1649</v>
      </c>
      <c r="J31" s="147">
        <f t="shared" si="2"/>
        <v>1.2163978494623655</v>
      </c>
      <c r="K31" s="146">
        <v>1032</v>
      </c>
      <c r="L31" s="147">
        <f t="shared" si="2"/>
        <v>-0.37416616130988478</v>
      </c>
      <c r="M31" s="146">
        <v>851</v>
      </c>
      <c r="N31" s="147">
        <f t="shared" ref="N31" si="3">IFERROR(M31/K31-1,"-")</f>
        <v>-0.17538759689922478</v>
      </c>
    </row>
    <row r="32" spans="1:15" x14ac:dyDescent="0.25">
      <c r="B32" s="145" t="s">
        <v>75</v>
      </c>
      <c r="C32" s="146">
        <v>1316</v>
      </c>
      <c r="D32" s="147">
        <v>-0.15424164524421591</v>
      </c>
      <c r="E32" s="146">
        <v>2820</v>
      </c>
      <c r="F32" s="147">
        <f t="shared" si="2"/>
        <v>1.1428571428571428</v>
      </c>
      <c r="G32" s="146">
        <v>1386</v>
      </c>
      <c r="H32" s="147">
        <f t="shared" si="2"/>
        <v>-0.50851063829787235</v>
      </c>
      <c r="I32" s="146">
        <v>1146</v>
      </c>
      <c r="J32" s="147">
        <f t="shared" si="2"/>
        <v>-0.17316017316017318</v>
      </c>
      <c r="K32" s="146">
        <v>1343</v>
      </c>
      <c r="L32" s="147">
        <f t="shared" si="2"/>
        <v>0.17190226876090753</v>
      </c>
      <c r="M32" s="146">
        <v>670</v>
      </c>
      <c r="N32" s="147">
        <f>IFERROR(M32/K32-1,"-")</f>
        <v>-0.50111690245718543</v>
      </c>
    </row>
    <row r="33" spans="2:15" x14ac:dyDescent="0.25">
      <c r="B33" s="145" t="s">
        <v>77</v>
      </c>
      <c r="C33" s="146">
        <v>486</v>
      </c>
      <c r="D33" s="147">
        <v>-0.87865168539325844</v>
      </c>
      <c r="E33" s="146">
        <v>3098</v>
      </c>
      <c r="F33" s="147">
        <f t="shared" si="2"/>
        <v>5.3744855967078191</v>
      </c>
      <c r="G33" s="146">
        <v>1477</v>
      </c>
      <c r="H33" s="147">
        <f t="shared" si="2"/>
        <v>-0.52324080051646216</v>
      </c>
      <c r="I33" s="146">
        <v>1783</v>
      </c>
      <c r="J33" s="147">
        <f t="shared" si="2"/>
        <v>0.2071767095463779</v>
      </c>
      <c r="K33" s="146">
        <v>2340</v>
      </c>
      <c r="L33" s="147">
        <f t="shared" si="2"/>
        <v>0.31239484015703867</v>
      </c>
      <c r="M33" s="146">
        <v>929</v>
      </c>
      <c r="N33" s="147">
        <f>IFERROR(M33/K33-1,"-")</f>
        <v>-0.60299145299145307</v>
      </c>
    </row>
    <row r="34" spans="2:15" x14ac:dyDescent="0.25">
      <c r="B34" s="145" t="s">
        <v>79</v>
      </c>
      <c r="C34" s="146">
        <v>0</v>
      </c>
      <c r="D34" s="147">
        <v>-1</v>
      </c>
      <c r="E34" s="146">
        <v>4325</v>
      </c>
      <c r="F34" s="147" t="str">
        <f t="shared" si="2"/>
        <v>-</v>
      </c>
      <c r="G34" s="146">
        <v>3054</v>
      </c>
      <c r="H34" s="147">
        <f t="shared" si="2"/>
        <v>-0.29387283236994222</v>
      </c>
      <c r="I34" s="146">
        <v>3984</v>
      </c>
      <c r="J34" s="147">
        <f t="shared" si="2"/>
        <v>0.30451866404715133</v>
      </c>
      <c r="K34" s="146">
        <v>1383</v>
      </c>
      <c r="L34" s="147">
        <f t="shared" si="2"/>
        <v>-0.65286144578313254</v>
      </c>
      <c r="M34" s="146">
        <v>2250</v>
      </c>
      <c r="N34" s="147">
        <f>IFERROR(M34/K34-1,"-")</f>
        <v>0.6268980477223427</v>
      </c>
    </row>
    <row r="35" spans="2:15" x14ac:dyDescent="0.25">
      <c r="B35" s="145" t="s">
        <v>81</v>
      </c>
      <c r="C35" s="146">
        <v>0</v>
      </c>
      <c r="D35" s="147">
        <v>-1</v>
      </c>
      <c r="E35" s="146">
        <v>4087</v>
      </c>
      <c r="F35" s="147" t="str">
        <f t="shared" si="2"/>
        <v>-</v>
      </c>
      <c r="G35" s="146">
        <v>2857</v>
      </c>
      <c r="H35" s="147">
        <f t="shared" si="2"/>
        <v>-0.30095424516760461</v>
      </c>
      <c r="I35" s="146">
        <v>2472</v>
      </c>
      <c r="J35" s="147">
        <f t="shared" si="2"/>
        <v>-0.13475673783689179</v>
      </c>
      <c r="K35" s="146">
        <v>2206</v>
      </c>
      <c r="L35" s="147">
        <f t="shared" si="2"/>
        <v>-0.10760517799352753</v>
      </c>
      <c r="M35" s="146">
        <v>1847</v>
      </c>
      <c r="N35" s="147">
        <f>IFERROR(M35/K35-1,"-")</f>
        <v>-0.16273798730734357</v>
      </c>
    </row>
    <row r="36" spans="2:15" x14ac:dyDescent="0.25">
      <c r="B36" s="145" t="s">
        <v>83</v>
      </c>
      <c r="C36" s="146">
        <v>0</v>
      </c>
      <c r="D36" s="147">
        <v>-1</v>
      </c>
      <c r="E36" s="146">
        <v>2007</v>
      </c>
      <c r="F36" s="147" t="str">
        <f t="shared" si="2"/>
        <v>-</v>
      </c>
      <c r="G36" s="146">
        <v>1981</v>
      </c>
      <c r="H36" s="147">
        <f t="shared" si="2"/>
        <v>-1.2954658694569021E-2</v>
      </c>
      <c r="I36" s="146">
        <v>3499</v>
      </c>
      <c r="J36" s="147">
        <f t="shared" si="2"/>
        <v>0.76627965673902065</v>
      </c>
      <c r="K36" s="146">
        <v>2734</v>
      </c>
      <c r="L36" s="147">
        <f t="shared" si="2"/>
        <v>-0.21863389539868539</v>
      </c>
      <c r="M36" s="146">
        <v>2922</v>
      </c>
      <c r="N36" s="147">
        <f t="shared" ref="N36:N39" si="4">IFERROR(M36/K36-1,"-")</f>
        <v>6.8763716166788669E-2</v>
      </c>
    </row>
    <row r="37" spans="2:15" x14ac:dyDescent="0.25">
      <c r="B37" s="145" t="s">
        <v>85</v>
      </c>
      <c r="C37" s="146">
        <v>0</v>
      </c>
      <c r="D37" s="147">
        <v>-1</v>
      </c>
      <c r="E37" s="146">
        <v>4124</v>
      </c>
      <c r="F37" s="147" t="str">
        <f t="shared" si="2"/>
        <v>-</v>
      </c>
      <c r="G37" s="146">
        <v>4035</v>
      </c>
      <c r="H37" s="147">
        <f t="shared" si="2"/>
        <v>-2.1580989330746814E-2</v>
      </c>
      <c r="I37" s="146">
        <v>4301</v>
      </c>
      <c r="J37" s="147">
        <f t="shared" si="2"/>
        <v>6.5923172242874806E-2</v>
      </c>
      <c r="K37" s="146">
        <v>4112</v>
      </c>
      <c r="L37" s="147">
        <f t="shared" si="2"/>
        <v>-4.3943269007207575E-2</v>
      </c>
      <c r="M37" s="146">
        <v>6200</v>
      </c>
      <c r="N37" s="147">
        <f t="shared" si="4"/>
        <v>0.50778210116731515</v>
      </c>
    </row>
    <row r="38" spans="2:15" x14ac:dyDescent="0.25">
      <c r="B38" s="145" t="s">
        <v>87</v>
      </c>
      <c r="C38" s="146">
        <v>8045</v>
      </c>
      <c r="D38" s="147">
        <v>0.12596221133659902</v>
      </c>
      <c r="E38" s="146">
        <v>8610</v>
      </c>
      <c r="F38" s="147">
        <f t="shared" si="2"/>
        <v>7.0229956494717305E-2</v>
      </c>
      <c r="G38" s="146">
        <v>5520</v>
      </c>
      <c r="H38" s="147">
        <f t="shared" si="2"/>
        <v>-0.35888501742160284</v>
      </c>
      <c r="I38" s="146">
        <v>4258</v>
      </c>
      <c r="J38" s="147">
        <f t="shared" si="2"/>
        <v>-0.2286231884057971</v>
      </c>
      <c r="K38" s="146">
        <v>5008</v>
      </c>
      <c r="L38" s="147">
        <f t="shared" si="2"/>
        <v>0.17613903240958195</v>
      </c>
      <c r="M38" s="146">
        <v>5409</v>
      </c>
      <c r="N38" s="147">
        <f t="shared" si="4"/>
        <v>8.0071884984025621E-2</v>
      </c>
    </row>
    <row r="39" spans="2:15" x14ac:dyDescent="0.25">
      <c r="B39" s="145" t="s">
        <v>89</v>
      </c>
      <c r="C39" s="146">
        <v>3978</v>
      </c>
      <c r="D39" s="147">
        <v>-0.31836874571624396</v>
      </c>
      <c r="E39" s="146">
        <v>5192</v>
      </c>
      <c r="F39" s="147">
        <f t="shared" si="2"/>
        <v>0.30517848164906991</v>
      </c>
      <c r="G39" s="146">
        <v>3446</v>
      </c>
      <c r="H39" s="147">
        <f t="shared" si="2"/>
        <v>-0.33628659476117106</v>
      </c>
      <c r="I39" s="146">
        <v>3382</v>
      </c>
      <c r="J39" s="147">
        <f t="shared" si="2"/>
        <v>-1.8572257690075422E-2</v>
      </c>
      <c r="K39" s="146">
        <v>2838</v>
      </c>
      <c r="L39" s="147">
        <f t="shared" si="2"/>
        <v>-0.16085156712004733</v>
      </c>
      <c r="M39" s="146">
        <v>5461</v>
      </c>
      <c r="N39" s="147">
        <f t="shared" si="4"/>
        <v>0.92424242424242431</v>
      </c>
    </row>
    <row r="40" spans="2:15" x14ac:dyDescent="0.25">
      <c r="B40" s="145" t="s">
        <v>91</v>
      </c>
      <c r="C40" s="146">
        <v>3756</v>
      </c>
      <c r="D40" s="147">
        <v>-2.6438569206842955E-2</v>
      </c>
      <c r="E40" s="146">
        <v>4314</v>
      </c>
      <c r="F40" s="147">
        <f t="shared" si="2"/>
        <v>0.14856230031948892</v>
      </c>
      <c r="G40" s="146">
        <v>1651</v>
      </c>
      <c r="H40" s="147">
        <f t="shared" si="2"/>
        <v>-0.61729253592953182</v>
      </c>
      <c r="I40" s="146">
        <v>2377</v>
      </c>
      <c r="J40" s="147">
        <f t="shared" si="2"/>
        <v>0.43973349485160518</v>
      </c>
      <c r="K40" s="146">
        <v>3489</v>
      </c>
      <c r="L40" s="147">
        <f t="shared" si="2"/>
        <v>0.46781657551535538</v>
      </c>
      <c r="M40" s="146"/>
      <c r="N40" s="147"/>
    </row>
    <row r="41" spans="2:15" x14ac:dyDescent="0.25">
      <c r="B41" s="145" t="s">
        <v>93</v>
      </c>
      <c r="C41" s="146">
        <v>1562</v>
      </c>
      <c r="D41" s="147">
        <v>-0.19025401762571281</v>
      </c>
      <c r="E41" s="146">
        <v>1248</v>
      </c>
      <c r="F41" s="147">
        <f t="shared" si="2"/>
        <v>-0.20102432778489121</v>
      </c>
      <c r="G41" s="146">
        <v>1088</v>
      </c>
      <c r="H41" s="147">
        <f t="shared" si="2"/>
        <v>-0.12820512820512819</v>
      </c>
      <c r="I41" s="146">
        <v>1284</v>
      </c>
      <c r="J41" s="147">
        <f t="shared" si="2"/>
        <v>0.18014705882352944</v>
      </c>
      <c r="K41" s="146">
        <v>1304</v>
      </c>
      <c r="L41" s="147">
        <f t="shared" si="2"/>
        <v>1.5576323987538832E-2</v>
      </c>
      <c r="M41" s="146"/>
      <c r="N41" s="147"/>
    </row>
    <row r="42" spans="2:15" x14ac:dyDescent="0.25">
      <c r="B42" s="145" t="s">
        <v>95</v>
      </c>
      <c r="C42" s="146">
        <v>1855</v>
      </c>
      <c r="D42" s="147">
        <v>-0.16290613718411551</v>
      </c>
      <c r="E42" s="146">
        <v>2038</v>
      </c>
      <c r="F42" s="147">
        <f t="shared" si="2"/>
        <v>9.8652291105121304E-2</v>
      </c>
      <c r="G42" s="146">
        <v>1822</v>
      </c>
      <c r="H42" s="147">
        <f t="shared" si="2"/>
        <v>-0.10598626104023556</v>
      </c>
      <c r="I42" s="146">
        <v>1883</v>
      </c>
      <c r="J42" s="147">
        <f t="shared" si="2"/>
        <v>3.3479692645444592E-2</v>
      </c>
      <c r="K42" s="146">
        <v>1399</v>
      </c>
      <c r="L42" s="147">
        <f t="shared" si="2"/>
        <v>-0.25703664365374401</v>
      </c>
      <c r="M42" s="146"/>
      <c r="N42" s="147"/>
    </row>
    <row r="43" spans="2:15" ht="15.75" x14ac:dyDescent="0.25">
      <c r="B43" s="148" t="s">
        <v>32</v>
      </c>
      <c r="C43" s="149">
        <v>26839</v>
      </c>
      <c r="D43" s="150">
        <v>-0.41112842003642192</v>
      </c>
      <c r="E43" s="149">
        <v>45216</v>
      </c>
      <c r="F43" s="150">
        <f t="shared" si="2"/>
        <v>0.68471254517679503</v>
      </c>
      <c r="G43" s="149">
        <v>29061</v>
      </c>
      <c r="H43" s="150">
        <f t="shared" si="2"/>
        <v>-0.35728503184713378</v>
      </c>
      <c r="I43" s="149">
        <v>32018</v>
      </c>
      <c r="J43" s="150">
        <f t="shared" si="2"/>
        <v>0.10175148824885594</v>
      </c>
      <c r="K43" s="149">
        <v>29188</v>
      </c>
      <c r="L43" s="150">
        <f t="shared" si="2"/>
        <v>-8.838778187269658E-2</v>
      </c>
      <c r="M43" s="149">
        <v>26539</v>
      </c>
      <c r="N43" s="150">
        <v>0.15407027309097243</v>
      </c>
    </row>
    <row r="44" spans="2:15" ht="6" customHeight="1" x14ac:dyDescent="0.25"/>
    <row r="45" spans="2:15" x14ac:dyDescent="0.25">
      <c r="B45" s="131" t="s">
        <v>57</v>
      </c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</row>
    <row r="46" spans="2:15" x14ac:dyDescent="0.25">
      <c r="C46" s="151"/>
    </row>
    <row r="47" spans="2:15" x14ac:dyDescent="0.25">
      <c r="E47" s="151"/>
      <c r="G47" s="151"/>
      <c r="I47" s="151"/>
      <c r="K47" s="153"/>
    </row>
    <row r="48" spans="2:15" ht="48.75" customHeight="1" thickBot="1" x14ac:dyDescent="0.3">
      <c r="B48" s="12" t="s">
        <v>240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" t="s">
        <v>100</v>
      </c>
    </row>
    <row r="49" spans="1:15" ht="10.5" customHeight="1" thickBot="1" x14ac:dyDescent="0.3">
      <c r="B49" s="132"/>
      <c r="C49" s="133"/>
      <c r="D49" s="132"/>
      <c r="E49" s="132"/>
      <c r="F49" s="132"/>
      <c r="G49" s="132"/>
      <c r="H49" s="132"/>
      <c r="I49" s="132"/>
      <c r="J49" s="132"/>
      <c r="K49" s="132"/>
      <c r="L49" s="132"/>
      <c r="M49" s="4"/>
      <c r="N49" s="4"/>
      <c r="O49" s="1" t="s">
        <v>101</v>
      </c>
    </row>
    <row r="50" spans="1:15" ht="22.5" thickTop="1" thickBot="1" x14ac:dyDescent="0.3">
      <c r="B50" s="137"/>
      <c r="C50" s="135" t="s">
        <v>102</v>
      </c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</row>
    <row r="51" spans="1:15" ht="22.5" thickTop="1" thickBot="1" x14ac:dyDescent="0.3">
      <c r="B51" s="137"/>
      <c r="C51" s="138">
        <f>C$7</f>
        <v>2020</v>
      </c>
      <c r="D51" s="139"/>
      <c r="E51" s="138">
        <f>E$7</f>
        <v>2021</v>
      </c>
      <c r="F51" s="139"/>
      <c r="G51" s="138">
        <f>G$7</f>
        <v>2022</v>
      </c>
      <c r="H51" s="139"/>
      <c r="I51" s="138">
        <f>I$7</f>
        <v>2023</v>
      </c>
      <c r="J51" s="139"/>
      <c r="K51" s="138">
        <f>K$7</f>
        <v>2024</v>
      </c>
      <c r="L51" s="139"/>
      <c r="M51" s="138">
        <f>M$7</f>
        <v>2025</v>
      </c>
      <c r="N51" s="139"/>
    </row>
    <row r="52" spans="1:15" ht="16.5" thickTop="1" thickBot="1" x14ac:dyDescent="0.3">
      <c r="B52" s="109"/>
      <c r="C52" s="142" t="s">
        <v>71</v>
      </c>
      <c r="D52" s="143" t="str">
        <f>CONCATENATE("var ",RIGHT(C51,2),"/",RIGHT(C51-1,2))</f>
        <v>var 20/19</v>
      </c>
      <c r="E52" s="144" t="s">
        <v>71</v>
      </c>
      <c r="F52" s="143" t="str">
        <f>CONCATENATE("var ",RIGHT(E51,2),"/",RIGHT(E51-1,2))</f>
        <v>var 21/20</v>
      </c>
      <c r="G52" s="144" t="s">
        <v>71</v>
      </c>
      <c r="H52" s="143" t="str">
        <f>CONCATENATE("var ",RIGHT(G51,2),"/",RIGHT(G51-1,2))</f>
        <v>var 22/21</v>
      </c>
      <c r="I52" s="144" t="s">
        <v>71</v>
      </c>
      <c r="J52" s="143" t="str">
        <f>CONCATENATE("var ",RIGHT(I51,2),"/",RIGHT(I51-1,2))</f>
        <v>var 23/22</v>
      </c>
      <c r="K52" s="144" t="s">
        <v>71</v>
      </c>
      <c r="L52" s="143" t="str">
        <f>CONCATENATE("var ",RIGHT(K51,2),"/",RIGHT(K51-1,2))</f>
        <v>var 24/23</v>
      </c>
      <c r="M52" s="144" t="s">
        <v>71</v>
      </c>
      <c r="N52" s="143" t="str">
        <f>CONCATENATE("var ",RIGHT(M51,2),"/",RIGHT(M51-1,2))</f>
        <v>var 25/24</v>
      </c>
    </row>
    <row r="53" spans="1:15" x14ac:dyDescent="0.25">
      <c r="A53" s="1">
        <v>1</v>
      </c>
      <c r="B53" s="145" t="s">
        <v>73</v>
      </c>
      <c r="C53" s="146">
        <v>332</v>
      </c>
      <c r="D53" s="147">
        <v>-0.63636363636363635</v>
      </c>
      <c r="E53" s="146">
        <v>460</v>
      </c>
      <c r="F53" s="147">
        <f>IFERROR(E53/C53-1,"-")</f>
        <v>0.3855421686746987</v>
      </c>
      <c r="G53" s="146">
        <v>515</v>
      </c>
      <c r="H53" s="147">
        <f>IFERROR(G53/E53-1,"-")</f>
        <v>0.11956521739130443</v>
      </c>
      <c r="I53" s="146">
        <v>722</v>
      </c>
      <c r="J53" s="147">
        <f>IFERROR(I53/G53-1,"-")</f>
        <v>0.40194174757281553</v>
      </c>
      <c r="K53" s="146">
        <v>461</v>
      </c>
      <c r="L53" s="147">
        <f>IFERROR(K53/I53-1,"-")</f>
        <v>-0.36149584487534625</v>
      </c>
      <c r="M53" s="146">
        <v>603</v>
      </c>
      <c r="N53" s="147">
        <f t="shared" ref="N53:N61" si="5">IFERROR(M53/K53-1,"-")</f>
        <v>0.30802603036876364</v>
      </c>
    </row>
    <row r="54" spans="1:15" x14ac:dyDescent="0.25">
      <c r="A54" s="1">
        <v>2</v>
      </c>
      <c r="B54" s="145" t="s">
        <v>75</v>
      </c>
      <c r="C54" s="146">
        <v>399</v>
      </c>
      <c r="D54" s="147">
        <v>-0.49684741488020179</v>
      </c>
      <c r="E54" s="146">
        <v>243</v>
      </c>
      <c r="F54" s="147">
        <f t="shared" ref="F54:L65" si="6">IFERROR(E54/C54-1,"-")</f>
        <v>-0.39097744360902253</v>
      </c>
      <c r="G54" s="146">
        <v>515</v>
      </c>
      <c r="H54" s="147">
        <f t="shared" si="6"/>
        <v>1.119341563786008</v>
      </c>
      <c r="I54" s="146">
        <v>509</v>
      </c>
      <c r="J54" s="147">
        <f t="shared" si="6"/>
        <v>-1.1650485436893177E-2</v>
      </c>
      <c r="K54" s="146">
        <v>473</v>
      </c>
      <c r="L54" s="147">
        <f t="shared" si="6"/>
        <v>-7.0726915520628708E-2</v>
      </c>
      <c r="M54" s="146">
        <v>400</v>
      </c>
      <c r="N54" s="147">
        <f t="shared" si="5"/>
        <v>-0.15433403805496826</v>
      </c>
    </row>
    <row r="55" spans="1:15" x14ac:dyDescent="0.25">
      <c r="A55" s="1">
        <v>3</v>
      </c>
      <c r="B55" s="145" t="s">
        <v>77</v>
      </c>
      <c r="C55" s="146">
        <v>135</v>
      </c>
      <c r="D55" s="147">
        <v>-0.92281303602058318</v>
      </c>
      <c r="E55" s="146">
        <v>377</v>
      </c>
      <c r="F55" s="147">
        <f t="shared" si="6"/>
        <v>1.7925925925925927</v>
      </c>
      <c r="G55" s="146">
        <v>541</v>
      </c>
      <c r="H55" s="147">
        <f t="shared" si="6"/>
        <v>0.4350132625994696</v>
      </c>
      <c r="I55" s="146">
        <v>747</v>
      </c>
      <c r="J55" s="147">
        <f t="shared" si="6"/>
        <v>0.38077634011090566</v>
      </c>
      <c r="K55" s="146">
        <v>813</v>
      </c>
      <c r="L55" s="147">
        <f t="shared" si="6"/>
        <v>8.8353413654618462E-2</v>
      </c>
      <c r="M55" s="146">
        <v>604</v>
      </c>
      <c r="N55" s="147">
        <f t="shared" si="5"/>
        <v>-0.25707257072570722</v>
      </c>
    </row>
    <row r="56" spans="1:15" x14ac:dyDescent="0.25">
      <c r="A56" s="1">
        <v>4</v>
      </c>
      <c r="B56" s="145" t="s">
        <v>79</v>
      </c>
      <c r="C56" s="146">
        <v>0</v>
      </c>
      <c r="D56" s="147">
        <v>-1</v>
      </c>
      <c r="E56" s="146">
        <v>439</v>
      </c>
      <c r="F56" s="147" t="str">
        <f t="shared" si="6"/>
        <v>-</v>
      </c>
      <c r="G56" s="146">
        <v>688</v>
      </c>
      <c r="H56" s="147">
        <f t="shared" si="6"/>
        <v>0.56719817767653757</v>
      </c>
      <c r="I56" s="146">
        <v>838</v>
      </c>
      <c r="J56" s="147">
        <f t="shared" si="6"/>
        <v>0.21802325581395343</v>
      </c>
      <c r="K56" s="146">
        <v>563</v>
      </c>
      <c r="L56" s="147">
        <f t="shared" si="6"/>
        <v>-0.32816229116945106</v>
      </c>
      <c r="M56" s="146">
        <v>1123</v>
      </c>
      <c r="N56" s="147">
        <f t="shared" si="5"/>
        <v>0.99467140319715819</v>
      </c>
    </row>
    <row r="57" spans="1:15" x14ac:dyDescent="0.25">
      <c r="A57" s="1">
        <v>5</v>
      </c>
      <c r="B57" s="145" t="s">
        <v>81</v>
      </c>
      <c r="C57" s="146">
        <v>0</v>
      </c>
      <c r="D57" s="147">
        <v>-1</v>
      </c>
      <c r="E57" s="146">
        <v>689</v>
      </c>
      <c r="F57" s="147" t="str">
        <f t="shared" si="6"/>
        <v>-</v>
      </c>
      <c r="G57" s="146">
        <v>629</v>
      </c>
      <c r="H57" s="147">
        <f t="shared" si="6"/>
        <v>-8.7082728592162595E-2</v>
      </c>
      <c r="I57" s="146">
        <v>849</v>
      </c>
      <c r="J57" s="147">
        <f t="shared" si="6"/>
        <v>0.34976152623211454</v>
      </c>
      <c r="K57" s="146">
        <v>742</v>
      </c>
      <c r="L57" s="147">
        <f t="shared" si="6"/>
        <v>-0.12603062426383982</v>
      </c>
      <c r="M57" s="146">
        <v>815</v>
      </c>
      <c r="N57" s="147">
        <f t="shared" si="5"/>
        <v>9.8382749326145547E-2</v>
      </c>
    </row>
    <row r="58" spans="1:15" x14ac:dyDescent="0.25">
      <c r="A58" s="1">
        <v>6</v>
      </c>
      <c r="B58" s="145" t="s">
        <v>83</v>
      </c>
      <c r="C58" s="146">
        <v>0</v>
      </c>
      <c r="D58" s="147">
        <v>-1</v>
      </c>
      <c r="E58" s="146">
        <v>850</v>
      </c>
      <c r="F58" s="147" t="str">
        <f t="shared" si="6"/>
        <v>-</v>
      </c>
      <c r="G58" s="146">
        <v>736</v>
      </c>
      <c r="H58" s="147">
        <f t="shared" si="6"/>
        <v>-0.13411764705882356</v>
      </c>
      <c r="I58" s="146">
        <v>1281</v>
      </c>
      <c r="J58" s="147">
        <f t="shared" si="6"/>
        <v>0.74048913043478271</v>
      </c>
      <c r="K58" s="146">
        <v>858</v>
      </c>
      <c r="L58" s="147">
        <f t="shared" si="6"/>
        <v>-0.33021077283372369</v>
      </c>
      <c r="M58" s="146">
        <v>1243</v>
      </c>
      <c r="N58" s="147">
        <f t="shared" si="5"/>
        <v>0.44871794871794868</v>
      </c>
    </row>
    <row r="59" spans="1:15" x14ac:dyDescent="0.25">
      <c r="A59" s="1">
        <v>7</v>
      </c>
      <c r="B59" s="145" t="s">
        <v>85</v>
      </c>
      <c r="C59" s="146">
        <v>0</v>
      </c>
      <c r="D59" s="147">
        <v>-1</v>
      </c>
      <c r="E59" s="146">
        <v>1976</v>
      </c>
      <c r="F59" s="147" t="str">
        <f t="shared" si="6"/>
        <v>-</v>
      </c>
      <c r="G59" s="146">
        <v>1359</v>
      </c>
      <c r="H59" s="147">
        <f t="shared" si="6"/>
        <v>-0.31224696356275305</v>
      </c>
      <c r="I59" s="146">
        <v>1503</v>
      </c>
      <c r="J59" s="147">
        <f t="shared" si="6"/>
        <v>0.10596026490066235</v>
      </c>
      <c r="K59" s="146">
        <v>1216</v>
      </c>
      <c r="L59" s="147">
        <f t="shared" si="6"/>
        <v>-0.19095143047238861</v>
      </c>
      <c r="M59" s="146">
        <v>1640</v>
      </c>
      <c r="N59" s="147">
        <f t="shared" si="5"/>
        <v>0.34868421052631571</v>
      </c>
    </row>
    <row r="60" spans="1:15" x14ac:dyDescent="0.25">
      <c r="A60" s="1">
        <v>8</v>
      </c>
      <c r="B60" s="145" t="s">
        <v>87</v>
      </c>
      <c r="C60" s="146">
        <v>2124</v>
      </c>
      <c r="D60" s="147">
        <v>-0.19939690915944219</v>
      </c>
      <c r="E60" s="146">
        <v>2642</v>
      </c>
      <c r="F60" s="147">
        <f t="shared" si="6"/>
        <v>0.24387947269303201</v>
      </c>
      <c r="G60" s="146">
        <v>1359</v>
      </c>
      <c r="H60" s="147">
        <f t="shared" si="6"/>
        <v>-0.48561695685087058</v>
      </c>
      <c r="I60" s="146">
        <v>1534</v>
      </c>
      <c r="J60" s="147">
        <f t="shared" si="6"/>
        <v>0.1287711552612214</v>
      </c>
      <c r="K60" s="146">
        <v>1718</v>
      </c>
      <c r="L60" s="147">
        <f t="shared" si="6"/>
        <v>0.11994784876140807</v>
      </c>
      <c r="M60" s="146">
        <v>2020</v>
      </c>
      <c r="N60" s="147">
        <f t="shared" si="5"/>
        <v>0.17578579743888234</v>
      </c>
    </row>
    <row r="61" spans="1:15" x14ac:dyDescent="0.25">
      <c r="A61" s="1">
        <v>9</v>
      </c>
      <c r="B61" s="145" t="s">
        <v>89</v>
      </c>
      <c r="C61" s="146">
        <v>1597</v>
      </c>
      <c r="D61" s="147">
        <v>-0.60204335908298034</v>
      </c>
      <c r="E61" s="146">
        <v>1343</v>
      </c>
      <c r="F61" s="147">
        <f t="shared" si="6"/>
        <v>-0.15904821540388225</v>
      </c>
      <c r="G61" s="146">
        <v>914</v>
      </c>
      <c r="H61" s="147">
        <f t="shared" si="6"/>
        <v>-0.31943410275502604</v>
      </c>
      <c r="I61" s="146">
        <v>1027</v>
      </c>
      <c r="J61" s="147">
        <f t="shared" si="6"/>
        <v>0.12363238512035002</v>
      </c>
      <c r="K61" s="146">
        <v>1147</v>
      </c>
      <c r="L61" s="147">
        <f t="shared" si="6"/>
        <v>0.11684518013631928</v>
      </c>
      <c r="M61" s="146">
        <v>1800</v>
      </c>
      <c r="N61" s="147">
        <f t="shared" si="5"/>
        <v>0.56931124673060163</v>
      </c>
    </row>
    <row r="62" spans="1:15" x14ac:dyDescent="0.25">
      <c r="A62" s="1">
        <v>10</v>
      </c>
      <c r="B62" s="145" t="s">
        <v>91</v>
      </c>
      <c r="C62" s="146">
        <v>502</v>
      </c>
      <c r="D62" s="147">
        <v>-0.75012444001991041</v>
      </c>
      <c r="E62" s="146">
        <v>980</v>
      </c>
      <c r="F62" s="147">
        <f t="shared" si="6"/>
        <v>0.952191235059761</v>
      </c>
      <c r="G62" s="146">
        <v>587</v>
      </c>
      <c r="H62" s="147">
        <f t="shared" si="6"/>
        <v>-0.40102040816326534</v>
      </c>
      <c r="I62" s="146">
        <v>688</v>
      </c>
      <c r="J62" s="147">
        <f t="shared" si="6"/>
        <v>0.17206132879045999</v>
      </c>
      <c r="K62" s="146">
        <v>932</v>
      </c>
      <c r="L62" s="147">
        <f t="shared" si="6"/>
        <v>0.35465116279069764</v>
      </c>
      <c r="M62" s="146"/>
      <c r="N62" s="147"/>
    </row>
    <row r="63" spans="1:15" x14ac:dyDescent="0.25">
      <c r="A63" s="1">
        <v>11</v>
      </c>
      <c r="B63" s="145" t="s">
        <v>93</v>
      </c>
      <c r="C63" s="146">
        <v>239</v>
      </c>
      <c r="D63" s="147">
        <v>-0.75979899497487435</v>
      </c>
      <c r="E63" s="146">
        <v>317</v>
      </c>
      <c r="F63" s="147">
        <f t="shared" si="6"/>
        <v>0.32635983263598334</v>
      </c>
      <c r="G63" s="146">
        <v>454</v>
      </c>
      <c r="H63" s="147">
        <f t="shared" si="6"/>
        <v>0.43217665615141954</v>
      </c>
      <c r="I63" s="146">
        <v>605</v>
      </c>
      <c r="J63" s="147">
        <f t="shared" si="6"/>
        <v>0.33259911894273131</v>
      </c>
      <c r="K63" s="146">
        <v>937</v>
      </c>
      <c r="L63" s="147">
        <f t="shared" si="6"/>
        <v>0.54876033057851248</v>
      </c>
      <c r="M63" s="146"/>
      <c r="N63" s="147"/>
    </row>
    <row r="64" spans="1:15" x14ac:dyDescent="0.25">
      <c r="A64" s="1">
        <v>12</v>
      </c>
      <c r="B64" s="145" t="s">
        <v>95</v>
      </c>
      <c r="C64" s="146">
        <v>288</v>
      </c>
      <c r="D64" s="147">
        <v>-0.77429467084639492</v>
      </c>
      <c r="E64" s="146">
        <v>705</v>
      </c>
      <c r="F64" s="147">
        <f t="shared" si="6"/>
        <v>1.4479166666666665</v>
      </c>
      <c r="G64" s="146">
        <v>821</v>
      </c>
      <c r="H64" s="147">
        <f t="shared" si="6"/>
        <v>0.1645390070921986</v>
      </c>
      <c r="I64" s="146">
        <v>977</v>
      </c>
      <c r="J64" s="147">
        <f t="shared" si="6"/>
        <v>0.19001218026796596</v>
      </c>
      <c r="K64" s="146">
        <v>952</v>
      </c>
      <c r="L64" s="147">
        <f t="shared" si="6"/>
        <v>-2.5588536335721557E-2</v>
      </c>
      <c r="M64" s="146"/>
      <c r="N64" s="147"/>
    </row>
    <row r="65" spans="1:15" ht="15.75" x14ac:dyDescent="0.25">
      <c r="B65" s="148" t="s">
        <v>32</v>
      </c>
      <c r="C65" s="149">
        <v>6781</v>
      </c>
      <c r="D65" s="150">
        <v>-0.6722096002320298</v>
      </c>
      <c r="E65" s="149">
        <v>11021</v>
      </c>
      <c r="F65" s="150">
        <f t="shared" si="6"/>
        <v>0.6252765078896918</v>
      </c>
      <c r="G65" s="149">
        <v>9118</v>
      </c>
      <c r="H65" s="150">
        <f t="shared" si="6"/>
        <v>-0.17267035659196084</v>
      </c>
      <c r="I65" s="149">
        <v>11280</v>
      </c>
      <c r="J65" s="150">
        <f t="shared" si="6"/>
        <v>0.23711340206185572</v>
      </c>
      <c r="K65" s="149">
        <v>10812</v>
      </c>
      <c r="L65" s="150">
        <f t="shared" si="6"/>
        <v>-4.1489361702127692E-2</v>
      </c>
      <c r="M65" s="149">
        <v>10248</v>
      </c>
      <c r="N65" s="150">
        <v>0.28244274809160297</v>
      </c>
    </row>
    <row r="66" spans="1:15" ht="6" customHeight="1" x14ac:dyDescent="0.25"/>
    <row r="67" spans="1:15" x14ac:dyDescent="0.25">
      <c r="B67" s="131" t="s">
        <v>57</v>
      </c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</row>
    <row r="68" spans="1:15" x14ac:dyDescent="0.25">
      <c r="C68" s="151"/>
    </row>
    <row r="70" spans="1:15" ht="48.75" customHeight="1" thickBot="1" x14ac:dyDescent="0.3">
      <c r="B70" s="12" t="s">
        <v>241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" t="s">
        <v>103</v>
      </c>
    </row>
    <row r="71" spans="1:15" ht="10.5" customHeight="1" thickBot="1" x14ac:dyDescent="0.3">
      <c r="B71" s="132"/>
      <c r="C71" s="133"/>
      <c r="D71" s="132"/>
      <c r="E71" s="132"/>
      <c r="F71" s="132"/>
      <c r="G71" s="132"/>
      <c r="H71" s="132"/>
      <c r="I71" s="132"/>
      <c r="J71" s="132"/>
      <c r="K71" s="132"/>
      <c r="L71" s="132"/>
      <c r="M71" s="4"/>
      <c r="N71" s="4"/>
      <c r="O71" s="1" t="s">
        <v>104</v>
      </c>
    </row>
    <row r="72" spans="1:15" ht="22.5" thickTop="1" thickBot="1" x14ac:dyDescent="0.3">
      <c r="B72" s="137"/>
      <c r="C72" s="135" t="s">
        <v>105</v>
      </c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</row>
    <row r="73" spans="1:15" ht="22.5" thickTop="1" thickBot="1" x14ac:dyDescent="0.3">
      <c r="B73" s="137"/>
      <c r="C73" s="138">
        <f>C$7</f>
        <v>2020</v>
      </c>
      <c r="D73" s="139"/>
      <c r="E73" s="138">
        <f>E$7</f>
        <v>2021</v>
      </c>
      <c r="F73" s="139"/>
      <c r="G73" s="138">
        <f>G$7</f>
        <v>2022</v>
      </c>
      <c r="H73" s="139"/>
      <c r="I73" s="138">
        <f>I$7</f>
        <v>2023</v>
      </c>
      <c r="J73" s="139"/>
      <c r="K73" s="138">
        <f>K$7</f>
        <v>2024</v>
      </c>
      <c r="L73" s="139"/>
      <c r="M73" s="138">
        <f>M$7</f>
        <v>2025</v>
      </c>
      <c r="N73" s="139"/>
    </row>
    <row r="74" spans="1:15" ht="16.5" thickTop="1" thickBot="1" x14ac:dyDescent="0.3">
      <c r="B74" s="109"/>
      <c r="C74" s="142" t="s">
        <v>71</v>
      </c>
      <c r="D74" s="143" t="str">
        <f>CONCATENATE("var ",RIGHT(C73,2),"/",RIGHT(C73-1,2))</f>
        <v>var 20/19</v>
      </c>
      <c r="E74" s="144" t="s">
        <v>71</v>
      </c>
      <c r="F74" s="143" t="str">
        <f>CONCATENATE("var ",RIGHT(E73,2),"/",RIGHT(E73-1,2))</f>
        <v>var 21/20</v>
      </c>
      <c r="G74" s="144" t="s">
        <v>71</v>
      </c>
      <c r="H74" s="143" t="str">
        <f>CONCATENATE("var ",RIGHT(G73,2),"/",RIGHT(G73-1,2))</f>
        <v>var 22/21</v>
      </c>
      <c r="I74" s="144" t="s">
        <v>71</v>
      </c>
      <c r="J74" s="143" t="str">
        <f>CONCATENATE("var ",RIGHT(I73,2),"/",RIGHT(I73-1,2))</f>
        <v>var 23/22</v>
      </c>
      <c r="K74" s="144" t="s">
        <v>71</v>
      </c>
      <c r="L74" s="143" t="str">
        <f>CONCATENATE("var ",RIGHT(K73,2),"/",RIGHT(K73-1,2))</f>
        <v>var 24/23</v>
      </c>
      <c r="M74" s="144" t="s">
        <v>71</v>
      </c>
      <c r="N74" s="143" t="str">
        <f>CONCATENATE("var ",RIGHT(M73,2),"/",RIGHT(M73-1,2))</f>
        <v>var 25/24</v>
      </c>
    </row>
    <row r="75" spans="1:15" x14ac:dyDescent="0.25">
      <c r="A75" s="1">
        <v>1</v>
      </c>
      <c r="B75" s="145" t="s">
        <v>73</v>
      </c>
      <c r="C75" s="146">
        <v>495</v>
      </c>
      <c r="D75" s="147">
        <v>-0.30769230769230771</v>
      </c>
      <c r="E75" s="146">
        <v>2893</v>
      </c>
      <c r="F75" s="147">
        <f>IFERROR(E75/C75-1,"-")</f>
        <v>4.8444444444444441</v>
      </c>
      <c r="G75" s="146">
        <v>229</v>
      </c>
      <c r="H75" s="147">
        <f>IFERROR(G75/E75-1,"-")</f>
        <v>-0.92084341513999313</v>
      </c>
      <c r="I75" s="146">
        <v>927</v>
      </c>
      <c r="J75" s="147">
        <f>IFERROR(I75/G75-1,"-")</f>
        <v>3.0480349344978164</v>
      </c>
      <c r="K75" s="146">
        <v>571</v>
      </c>
      <c r="L75" s="147">
        <f>IFERROR(K75/I75-1,"-")</f>
        <v>-0.38403451995685001</v>
      </c>
      <c r="M75" s="146">
        <v>248</v>
      </c>
      <c r="N75" s="147">
        <f t="shared" ref="N75:N83" si="7">IFERROR(M75/K75-1,"-")</f>
        <v>-0.56567425569176888</v>
      </c>
    </row>
    <row r="76" spans="1:15" x14ac:dyDescent="0.25">
      <c r="A76" s="1">
        <v>2</v>
      </c>
      <c r="B76" s="145" t="s">
        <v>75</v>
      </c>
      <c r="C76" s="146">
        <v>917</v>
      </c>
      <c r="D76" s="147">
        <v>0.201834862385321</v>
      </c>
      <c r="E76" s="146">
        <v>2577</v>
      </c>
      <c r="F76" s="147">
        <f t="shared" ref="F76:L87" si="8">IFERROR(E76/C76-1,"-")</f>
        <v>1.8102508178844054</v>
      </c>
      <c r="G76" s="146">
        <v>871</v>
      </c>
      <c r="H76" s="147">
        <f t="shared" si="8"/>
        <v>-0.66201008925106719</v>
      </c>
      <c r="I76" s="146">
        <v>637</v>
      </c>
      <c r="J76" s="147">
        <f t="shared" si="8"/>
        <v>-0.26865671641791045</v>
      </c>
      <c r="K76" s="146">
        <v>870</v>
      </c>
      <c r="L76" s="147">
        <f t="shared" si="8"/>
        <v>0.36577708006279441</v>
      </c>
      <c r="M76" s="146">
        <v>270</v>
      </c>
      <c r="N76" s="147">
        <f t="shared" si="7"/>
        <v>-0.68965517241379315</v>
      </c>
    </row>
    <row r="77" spans="1:15" x14ac:dyDescent="0.25">
      <c r="A77" s="1">
        <v>3</v>
      </c>
      <c r="B77" s="145" t="s">
        <v>77</v>
      </c>
      <c r="C77" s="146">
        <v>351</v>
      </c>
      <c r="D77" s="147">
        <v>-0.84441489361702127</v>
      </c>
      <c r="E77" s="146">
        <v>2721</v>
      </c>
      <c r="F77" s="147">
        <f t="shared" si="8"/>
        <v>6.7521367521367521</v>
      </c>
      <c r="G77" s="146">
        <v>936</v>
      </c>
      <c r="H77" s="147">
        <f t="shared" si="8"/>
        <v>-0.6560088202866593</v>
      </c>
      <c r="I77" s="146">
        <v>1036</v>
      </c>
      <c r="J77" s="147">
        <f t="shared" si="8"/>
        <v>0.1068376068376069</v>
      </c>
      <c r="K77" s="146">
        <v>1527</v>
      </c>
      <c r="L77" s="147">
        <f t="shared" si="8"/>
        <v>0.47393822393822393</v>
      </c>
      <c r="M77" s="146">
        <v>325</v>
      </c>
      <c r="N77" s="147">
        <f t="shared" si="7"/>
        <v>-0.78716437459070066</v>
      </c>
    </row>
    <row r="78" spans="1:15" x14ac:dyDescent="0.25">
      <c r="A78" s="1">
        <v>4</v>
      </c>
      <c r="B78" s="145" t="s">
        <v>79</v>
      </c>
      <c r="C78" s="146">
        <v>0</v>
      </c>
      <c r="D78" s="147">
        <v>-1</v>
      </c>
      <c r="E78" s="146">
        <v>3886</v>
      </c>
      <c r="F78" s="147" t="str">
        <f t="shared" si="8"/>
        <v>-</v>
      </c>
      <c r="G78" s="146">
        <v>2366</v>
      </c>
      <c r="H78" s="147">
        <f t="shared" si="8"/>
        <v>-0.3911477097272259</v>
      </c>
      <c r="I78" s="146">
        <v>3146</v>
      </c>
      <c r="J78" s="147">
        <f t="shared" si="8"/>
        <v>0.32967032967032961</v>
      </c>
      <c r="K78" s="146">
        <v>820</v>
      </c>
      <c r="L78" s="147">
        <f t="shared" si="8"/>
        <v>-0.73935155753337578</v>
      </c>
      <c r="M78" s="146">
        <v>1127</v>
      </c>
      <c r="N78" s="147">
        <f t="shared" si="7"/>
        <v>0.37439024390243913</v>
      </c>
    </row>
    <row r="79" spans="1:15" x14ac:dyDescent="0.25">
      <c r="A79" s="1">
        <v>5</v>
      </c>
      <c r="B79" s="145" t="s">
        <v>81</v>
      </c>
      <c r="C79" s="146">
        <v>0</v>
      </c>
      <c r="D79" s="147">
        <v>-1</v>
      </c>
      <c r="E79" s="146">
        <v>3398</v>
      </c>
      <c r="F79" s="147" t="str">
        <f t="shared" si="8"/>
        <v>-</v>
      </c>
      <c r="G79" s="146">
        <v>2228</v>
      </c>
      <c r="H79" s="147">
        <f t="shared" si="8"/>
        <v>-0.34432018834608591</v>
      </c>
      <c r="I79" s="146">
        <v>1623</v>
      </c>
      <c r="J79" s="147">
        <f t="shared" si="8"/>
        <v>-0.27154398563734294</v>
      </c>
      <c r="K79" s="146">
        <v>1464</v>
      </c>
      <c r="L79" s="147">
        <f t="shared" si="8"/>
        <v>-9.7966728280961202E-2</v>
      </c>
      <c r="M79" s="146">
        <v>1032</v>
      </c>
      <c r="N79" s="147">
        <f t="shared" si="7"/>
        <v>-0.29508196721311475</v>
      </c>
    </row>
    <row r="80" spans="1:15" x14ac:dyDescent="0.25">
      <c r="A80" s="1">
        <v>6</v>
      </c>
      <c r="B80" s="145" t="s">
        <v>83</v>
      </c>
      <c r="C80" s="146">
        <v>0</v>
      </c>
      <c r="D80" s="147">
        <v>-1</v>
      </c>
      <c r="E80" s="146">
        <v>1157</v>
      </c>
      <c r="F80" s="147" t="str">
        <f t="shared" si="8"/>
        <v>-</v>
      </c>
      <c r="G80" s="146">
        <v>1245</v>
      </c>
      <c r="H80" s="147">
        <f t="shared" si="8"/>
        <v>7.605877268798622E-2</v>
      </c>
      <c r="I80" s="146">
        <v>2218</v>
      </c>
      <c r="J80" s="147">
        <f t="shared" si="8"/>
        <v>0.78152610441767068</v>
      </c>
      <c r="K80" s="146">
        <v>1876</v>
      </c>
      <c r="L80" s="147">
        <f t="shared" si="8"/>
        <v>-0.15419296663660953</v>
      </c>
      <c r="M80" s="146">
        <v>1679</v>
      </c>
      <c r="N80" s="147">
        <f t="shared" si="7"/>
        <v>-0.10501066098081024</v>
      </c>
    </row>
    <row r="81" spans="1:15" x14ac:dyDescent="0.25">
      <c r="A81" s="1">
        <v>7</v>
      </c>
      <c r="B81" s="145" t="s">
        <v>85</v>
      </c>
      <c r="C81" s="146">
        <v>0</v>
      </c>
      <c r="D81" s="147">
        <v>-1</v>
      </c>
      <c r="E81" s="146">
        <v>2148</v>
      </c>
      <c r="F81" s="147" t="str">
        <f t="shared" si="8"/>
        <v>-</v>
      </c>
      <c r="G81" s="146">
        <v>2676</v>
      </c>
      <c r="H81" s="147">
        <f t="shared" si="8"/>
        <v>0.24581005586592175</v>
      </c>
      <c r="I81" s="146">
        <v>2798</v>
      </c>
      <c r="J81" s="147">
        <f t="shared" si="8"/>
        <v>4.5590433482810111E-2</v>
      </c>
      <c r="K81" s="146">
        <v>2896</v>
      </c>
      <c r="L81" s="147">
        <f t="shared" si="8"/>
        <v>3.5025017869906971E-2</v>
      </c>
      <c r="M81" s="146">
        <v>4560</v>
      </c>
      <c r="N81" s="147">
        <f t="shared" si="7"/>
        <v>0.57458563535911611</v>
      </c>
    </row>
    <row r="82" spans="1:15" x14ac:dyDescent="0.25">
      <c r="A82" s="1">
        <v>8</v>
      </c>
      <c r="B82" s="145" t="s">
        <v>87</v>
      </c>
      <c r="C82" s="146">
        <v>5921</v>
      </c>
      <c r="D82" s="147">
        <v>0.31812110418521811</v>
      </c>
      <c r="E82" s="146">
        <v>5968</v>
      </c>
      <c r="F82" s="147">
        <f t="shared" si="8"/>
        <v>7.9378483364296315E-3</v>
      </c>
      <c r="G82" s="146">
        <v>4161</v>
      </c>
      <c r="H82" s="147">
        <f t="shared" si="8"/>
        <v>-0.30278150134048254</v>
      </c>
      <c r="I82" s="146">
        <v>2724</v>
      </c>
      <c r="J82" s="147">
        <f t="shared" si="8"/>
        <v>-0.34534967555875995</v>
      </c>
      <c r="K82" s="146">
        <v>3290</v>
      </c>
      <c r="L82" s="147">
        <f t="shared" si="8"/>
        <v>0.20778267254038174</v>
      </c>
      <c r="M82" s="146">
        <v>3389</v>
      </c>
      <c r="N82" s="147">
        <f t="shared" si="7"/>
        <v>3.0091185410334287E-2</v>
      </c>
    </row>
    <row r="83" spans="1:15" x14ac:dyDescent="0.25">
      <c r="A83" s="1">
        <v>9</v>
      </c>
      <c r="B83" s="145" t="s">
        <v>89</v>
      </c>
      <c r="C83" s="146">
        <v>2381</v>
      </c>
      <c r="D83" s="147">
        <v>0.30608886450905093</v>
      </c>
      <c r="E83" s="146">
        <v>3849</v>
      </c>
      <c r="F83" s="147">
        <f t="shared" si="8"/>
        <v>0.61654766904661917</v>
      </c>
      <c r="G83" s="146">
        <v>2532</v>
      </c>
      <c r="H83" s="147">
        <f t="shared" si="8"/>
        <v>-0.34216679657053783</v>
      </c>
      <c r="I83" s="146">
        <v>2355</v>
      </c>
      <c r="J83" s="147">
        <f t="shared" si="8"/>
        <v>-6.9905213270142208E-2</v>
      </c>
      <c r="K83" s="146">
        <v>1691</v>
      </c>
      <c r="L83" s="147">
        <f t="shared" si="8"/>
        <v>-0.28195329087048837</v>
      </c>
      <c r="M83" s="146">
        <v>3661</v>
      </c>
      <c r="N83" s="147">
        <f t="shared" si="7"/>
        <v>1.1649911295091662</v>
      </c>
    </row>
    <row r="84" spans="1:15" x14ac:dyDescent="0.25">
      <c r="A84" s="1">
        <v>10</v>
      </c>
      <c r="B84" s="145" t="s">
        <v>91</v>
      </c>
      <c r="C84" s="146">
        <v>3254</v>
      </c>
      <c r="D84" s="147">
        <v>0.75987020010816653</v>
      </c>
      <c r="E84" s="146">
        <v>3334</v>
      </c>
      <c r="F84" s="147">
        <f t="shared" si="8"/>
        <v>2.4585125998770829E-2</v>
      </c>
      <c r="G84" s="146">
        <v>1064</v>
      </c>
      <c r="H84" s="147">
        <f t="shared" si="8"/>
        <v>-0.68086382723455308</v>
      </c>
      <c r="I84" s="146">
        <v>1689</v>
      </c>
      <c r="J84" s="147">
        <f t="shared" si="8"/>
        <v>0.58740601503759393</v>
      </c>
      <c r="K84" s="146">
        <v>2557</v>
      </c>
      <c r="L84" s="147">
        <f t="shared" si="8"/>
        <v>0.51391355831853169</v>
      </c>
      <c r="M84" s="146"/>
      <c r="N84" s="147"/>
    </row>
    <row r="85" spans="1:15" x14ac:dyDescent="0.25">
      <c r="A85" s="1">
        <v>11</v>
      </c>
      <c r="B85" s="145" t="s">
        <v>93</v>
      </c>
      <c r="C85" s="146">
        <v>1323</v>
      </c>
      <c r="D85" s="147">
        <v>0.41648822269807284</v>
      </c>
      <c r="E85" s="146">
        <v>931</v>
      </c>
      <c r="F85" s="147">
        <f t="shared" si="8"/>
        <v>-0.29629629629629628</v>
      </c>
      <c r="G85" s="146">
        <v>634</v>
      </c>
      <c r="H85" s="147">
        <f t="shared" si="8"/>
        <v>-0.31901181525241673</v>
      </c>
      <c r="I85" s="146">
        <v>679</v>
      </c>
      <c r="J85" s="147">
        <f t="shared" si="8"/>
        <v>7.0977917981072558E-2</v>
      </c>
      <c r="K85" s="146">
        <v>367</v>
      </c>
      <c r="L85" s="147">
        <f t="shared" si="8"/>
        <v>-0.459499263622975</v>
      </c>
      <c r="M85" s="146"/>
      <c r="N85" s="147"/>
    </row>
    <row r="86" spans="1:15" x14ac:dyDescent="0.25">
      <c r="A86" s="1">
        <v>12</v>
      </c>
      <c r="B86" s="145" t="s">
        <v>95</v>
      </c>
      <c r="C86" s="146">
        <v>1567</v>
      </c>
      <c r="D86" s="147">
        <v>0.66702127659574462</v>
      </c>
      <c r="E86" s="146">
        <v>1333</v>
      </c>
      <c r="F86" s="147">
        <f t="shared" si="8"/>
        <v>-0.14932992980216975</v>
      </c>
      <c r="G86" s="146">
        <v>1001</v>
      </c>
      <c r="H86" s="147">
        <f t="shared" si="8"/>
        <v>-0.24906226556639155</v>
      </c>
      <c r="I86" s="146">
        <v>906</v>
      </c>
      <c r="J86" s="147">
        <f t="shared" si="8"/>
        <v>-9.4905094905094911E-2</v>
      </c>
      <c r="K86" s="146">
        <v>447</v>
      </c>
      <c r="L86" s="147">
        <f t="shared" si="8"/>
        <v>-0.50662251655629142</v>
      </c>
      <c r="M86" s="146"/>
      <c r="N86" s="147"/>
    </row>
    <row r="87" spans="1:15" ht="15.75" x14ac:dyDescent="0.25">
      <c r="B87" s="148" t="s">
        <v>32</v>
      </c>
      <c r="C87" s="149">
        <v>20058</v>
      </c>
      <c r="D87" s="150">
        <v>-0.1941341904379269</v>
      </c>
      <c r="E87" s="149">
        <v>34195</v>
      </c>
      <c r="F87" s="150">
        <f t="shared" si="8"/>
        <v>0.70480606241898491</v>
      </c>
      <c r="G87" s="149">
        <v>19943</v>
      </c>
      <c r="H87" s="150">
        <f t="shared" si="8"/>
        <v>-0.41678607983623339</v>
      </c>
      <c r="I87" s="149">
        <v>20738</v>
      </c>
      <c r="J87" s="150">
        <f t="shared" si="8"/>
        <v>3.9863611292182632E-2</v>
      </c>
      <c r="K87" s="149">
        <v>18376</v>
      </c>
      <c r="L87" s="150">
        <f t="shared" si="8"/>
        <v>-0.1138971935577201</v>
      </c>
      <c r="M87" s="149">
        <v>16291</v>
      </c>
      <c r="N87" s="150">
        <v>8.5704765078307155E-2</v>
      </c>
    </row>
    <row r="88" spans="1:15" ht="6" customHeight="1" x14ac:dyDescent="0.25"/>
    <row r="89" spans="1:15" x14ac:dyDescent="0.25">
      <c r="B89" s="131" t="s">
        <v>57</v>
      </c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</row>
    <row r="90" spans="1:15" x14ac:dyDescent="0.25">
      <c r="C90" s="151"/>
    </row>
    <row r="92" spans="1:15" ht="48.75" customHeight="1" thickBot="1" x14ac:dyDescent="0.3">
      <c r="B92" s="12" t="s">
        <v>242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" t="s">
        <v>106</v>
      </c>
    </row>
    <row r="93" spans="1:15" ht="10.5" customHeight="1" thickBot="1" x14ac:dyDescent="0.3">
      <c r="B93" s="132"/>
      <c r="C93" s="133"/>
      <c r="D93" s="132"/>
      <c r="E93" s="132"/>
      <c r="F93" s="132"/>
      <c r="G93" s="132"/>
      <c r="H93" s="132"/>
      <c r="I93" s="132"/>
      <c r="J93" s="132"/>
      <c r="K93" s="132"/>
      <c r="L93" s="132"/>
      <c r="M93" s="4"/>
      <c r="N93" s="4"/>
      <c r="O93" s="1" t="s">
        <v>107</v>
      </c>
    </row>
    <row r="94" spans="1:15" ht="22.5" thickTop="1" thickBot="1" x14ac:dyDescent="0.3">
      <c r="B94" s="152" t="s">
        <v>108</v>
      </c>
      <c r="C94" s="135" t="s">
        <v>109</v>
      </c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</row>
    <row r="95" spans="1:15" ht="22.5" thickTop="1" thickBot="1" x14ac:dyDescent="0.3">
      <c r="B95" s="137"/>
      <c r="C95" s="138">
        <f>C$7</f>
        <v>2020</v>
      </c>
      <c r="D95" s="139"/>
      <c r="E95" s="138">
        <f>E$7</f>
        <v>2021</v>
      </c>
      <c r="F95" s="139"/>
      <c r="G95" s="138">
        <f>G$7</f>
        <v>2022</v>
      </c>
      <c r="H95" s="139"/>
      <c r="I95" s="138">
        <f>I$7</f>
        <v>2023</v>
      </c>
      <c r="J95" s="139"/>
      <c r="K95" s="138">
        <f>K$7</f>
        <v>2024</v>
      </c>
      <c r="L95" s="139"/>
      <c r="M95" s="138">
        <f>M$7</f>
        <v>2025</v>
      </c>
      <c r="N95" s="139"/>
    </row>
    <row r="96" spans="1:15" ht="16.5" thickTop="1" thickBot="1" x14ac:dyDescent="0.3">
      <c r="B96" s="109"/>
      <c r="C96" s="142" t="s">
        <v>71</v>
      </c>
      <c r="D96" s="143" t="str">
        <f>CONCATENATE("var ",RIGHT(C95,2),"/",RIGHT(C95-1,2))</f>
        <v>var 20/19</v>
      </c>
      <c r="E96" s="144" t="s">
        <v>71</v>
      </c>
      <c r="F96" s="143" t="str">
        <f>CONCATENATE("var ",RIGHT(E95,2),"/",RIGHT(E95-1,2))</f>
        <v>var 21/20</v>
      </c>
      <c r="G96" s="144" t="s">
        <v>71</v>
      </c>
      <c r="H96" s="143" t="str">
        <f>CONCATENATE("var ",RIGHT(G95,2),"/",RIGHT(G95-1,2))</f>
        <v>var 22/21</v>
      </c>
      <c r="I96" s="144" t="s">
        <v>71</v>
      </c>
      <c r="J96" s="143" t="str">
        <f>CONCATENATE("var ",RIGHT(I95,2),"/",RIGHT(I95-1,2))</f>
        <v>var 23/22</v>
      </c>
      <c r="K96" s="144" t="s">
        <v>71</v>
      </c>
      <c r="L96" s="143" t="str">
        <f>CONCATENATE("var ",RIGHT(K95,2),"/",RIGHT(K95-1,2))</f>
        <v>var 24/23</v>
      </c>
      <c r="M96" s="144" t="s">
        <v>71</v>
      </c>
      <c r="N96" s="143" t="str">
        <f>CONCATENATE("var ",RIGHT(M95,2),"/",RIGHT(M95-1,2))</f>
        <v>var 25/24</v>
      </c>
    </row>
    <row r="97" spans="2:14" x14ac:dyDescent="0.25">
      <c r="B97" s="145" t="s">
        <v>73</v>
      </c>
      <c r="C97" s="146">
        <v>20204</v>
      </c>
      <c r="D97" s="147">
        <v>0.11550353356890453</v>
      </c>
      <c r="E97" s="146">
        <v>2870</v>
      </c>
      <c r="F97" s="147">
        <f t="shared" ref="F97:L109" si="9">IFERROR(E97/C97-1,"-")</f>
        <v>-0.85794892100574138</v>
      </c>
      <c r="G97" s="146">
        <v>14854</v>
      </c>
      <c r="H97" s="147">
        <f t="shared" si="9"/>
        <v>4.1756097560975611</v>
      </c>
      <c r="I97" s="146">
        <v>20841</v>
      </c>
      <c r="J97" s="147">
        <f t="shared" si="9"/>
        <v>0.40305641578026119</v>
      </c>
      <c r="K97" s="146">
        <v>21618</v>
      </c>
      <c r="L97" s="147">
        <f t="shared" si="9"/>
        <v>3.7282280120915612E-2</v>
      </c>
      <c r="M97" s="146">
        <v>21677</v>
      </c>
      <c r="N97" s="147">
        <f t="shared" ref="N97:N105" si="10">IFERROR(M97/K97-1,"-")</f>
        <v>2.729207142196266E-3</v>
      </c>
    </row>
    <row r="98" spans="2:14" x14ac:dyDescent="0.25">
      <c r="B98" s="145" t="s">
        <v>75</v>
      </c>
      <c r="C98" s="146">
        <v>21087</v>
      </c>
      <c r="D98" s="147">
        <v>0.19358125318390229</v>
      </c>
      <c r="E98" s="146">
        <v>2315</v>
      </c>
      <c r="F98" s="147">
        <f t="shared" si="9"/>
        <v>-0.89021672120263673</v>
      </c>
      <c r="G98" s="146">
        <v>20280</v>
      </c>
      <c r="H98" s="147">
        <f t="shared" si="9"/>
        <v>7.7602591792656579</v>
      </c>
      <c r="I98" s="146">
        <v>21940</v>
      </c>
      <c r="J98" s="147">
        <f t="shared" si="9"/>
        <v>8.1854043392505016E-2</v>
      </c>
      <c r="K98" s="146">
        <v>22578</v>
      </c>
      <c r="L98" s="147">
        <f t="shared" si="9"/>
        <v>2.9079307201458571E-2</v>
      </c>
      <c r="M98" s="146">
        <v>22615</v>
      </c>
      <c r="N98" s="147">
        <f t="shared" si="10"/>
        <v>1.6387633979979555E-3</v>
      </c>
    </row>
    <row r="99" spans="2:14" x14ac:dyDescent="0.25">
      <c r="B99" s="145" t="s">
        <v>77</v>
      </c>
      <c r="C99" s="146">
        <v>8379</v>
      </c>
      <c r="D99" s="147">
        <v>-0.53367097061442559</v>
      </c>
      <c r="E99" s="146">
        <v>2315</v>
      </c>
      <c r="F99" s="147">
        <f t="shared" si="9"/>
        <v>-0.72371404702231767</v>
      </c>
      <c r="G99" s="146">
        <v>20754</v>
      </c>
      <c r="H99" s="147">
        <f t="shared" si="9"/>
        <v>7.9650107991360688</v>
      </c>
      <c r="I99" s="146">
        <v>19906</v>
      </c>
      <c r="J99" s="147">
        <f t="shared" si="9"/>
        <v>-4.0859593331405986E-2</v>
      </c>
      <c r="K99" s="146">
        <v>25016</v>
      </c>
      <c r="L99" s="147">
        <f t="shared" si="9"/>
        <v>0.25670652064704114</v>
      </c>
      <c r="M99" s="146">
        <v>23125</v>
      </c>
      <c r="N99" s="147">
        <f t="shared" si="10"/>
        <v>-7.559162136232811E-2</v>
      </c>
    </row>
    <row r="100" spans="2:14" x14ac:dyDescent="0.25">
      <c r="B100" s="145" t="s">
        <v>79</v>
      </c>
      <c r="C100" s="146">
        <v>0</v>
      </c>
      <c r="D100" s="147">
        <v>-1</v>
      </c>
      <c r="E100" s="146">
        <v>2138</v>
      </c>
      <c r="F100" s="147" t="str">
        <f t="shared" si="9"/>
        <v>-</v>
      </c>
      <c r="G100" s="146">
        <v>20840</v>
      </c>
      <c r="H100" s="147">
        <f t="shared" si="9"/>
        <v>8.7474275023386348</v>
      </c>
      <c r="I100" s="146">
        <v>19500</v>
      </c>
      <c r="J100" s="147">
        <f t="shared" si="9"/>
        <v>-6.4299424184261045E-2</v>
      </c>
      <c r="K100" s="146">
        <v>20822</v>
      </c>
      <c r="L100" s="147">
        <f t="shared" si="9"/>
        <v>6.7794871794871758E-2</v>
      </c>
      <c r="M100" s="146">
        <v>21253</v>
      </c>
      <c r="N100" s="147">
        <f t="shared" si="10"/>
        <v>2.0699260397656349E-2</v>
      </c>
    </row>
    <row r="101" spans="2:14" x14ac:dyDescent="0.25">
      <c r="B101" s="145" t="s">
        <v>81</v>
      </c>
      <c r="C101" s="146">
        <v>0</v>
      </c>
      <c r="D101" s="147">
        <v>-1</v>
      </c>
      <c r="E101" s="146">
        <v>2736</v>
      </c>
      <c r="F101" s="147" t="str">
        <f t="shared" si="9"/>
        <v>-</v>
      </c>
      <c r="G101" s="146">
        <v>17394</v>
      </c>
      <c r="H101" s="147">
        <f t="shared" si="9"/>
        <v>5.3574561403508776</v>
      </c>
      <c r="I101" s="146">
        <v>19075</v>
      </c>
      <c r="J101" s="147">
        <f t="shared" si="9"/>
        <v>9.664252040933663E-2</v>
      </c>
      <c r="K101" s="146">
        <v>21243</v>
      </c>
      <c r="L101" s="147">
        <f t="shared" si="9"/>
        <v>0.11365661861074705</v>
      </c>
      <c r="M101" s="146">
        <v>17689</v>
      </c>
      <c r="N101" s="147">
        <f t="shared" si="10"/>
        <v>-0.16730217012662996</v>
      </c>
    </row>
    <row r="102" spans="2:14" x14ac:dyDescent="0.25">
      <c r="B102" s="145" t="s">
        <v>83</v>
      </c>
      <c r="C102" s="146">
        <v>0</v>
      </c>
      <c r="D102" s="147">
        <v>-1</v>
      </c>
      <c r="E102" s="146">
        <v>1795</v>
      </c>
      <c r="F102" s="147" t="str">
        <f t="shared" si="9"/>
        <v>-</v>
      </c>
      <c r="G102" s="146">
        <v>16905</v>
      </c>
      <c r="H102" s="147">
        <f t="shared" si="9"/>
        <v>8.4178272980501401</v>
      </c>
      <c r="I102" s="146">
        <v>17566</v>
      </c>
      <c r="J102" s="147">
        <f t="shared" si="9"/>
        <v>3.9100857734398087E-2</v>
      </c>
      <c r="K102" s="146">
        <v>20107</v>
      </c>
      <c r="L102" s="147">
        <f t="shared" si="9"/>
        <v>0.14465444608903555</v>
      </c>
      <c r="M102" s="146">
        <v>20237</v>
      </c>
      <c r="N102" s="147">
        <f t="shared" si="10"/>
        <v>6.4654100561993832E-3</v>
      </c>
    </row>
    <row r="103" spans="2:14" x14ac:dyDescent="0.25">
      <c r="B103" s="145" t="s">
        <v>85</v>
      </c>
      <c r="C103" s="146">
        <v>0</v>
      </c>
      <c r="D103" s="147">
        <v>-1</v>
      </c>
      <c r="E103" s="146">
        <v>6095</v>
      </c>
      <c r="F103" s="147" t="str">
        <f t="shared" si="9"/>
        <v>-</v>
      </c>
      <c r="G103" s="146">
        <v>19076</v>
      </c>
      <c r="H103" s="147">
        <f t="shared" si="9"/>
        <v>2.1297785069729285</v>
      </c>
      <c r="I103" s="146">
        <v>19975</v>
      </c>
      <c r="J103" s="147">
        <f t="shared" si="9"/>
        <v>4.7127280352275092E-2</v>
      </c>
      <c r="K103" s="146">
        <v>20781</v>
      </c>
      <c r="L103" s="147">
        <f t="shared" si="9"/>
        <v>4.0350438047559445E-2</v>
      </c>
      <c r="M103" s="146">
        <v>21752</v>
      </c>
      <c r="N103" s="147">
        <f t="shared" si="10"/>
        <v>4.6725374139839237E-2</v>
      </c>
    </row>
    <row r="104" spans="2:14" x14ac:dyDescent="0.25">
      <c r="B104" s="145" t="s">
        <v>87</v>
      </c>
      <c r="C104" s="146">
        <v>5250</v>
      </c>
      <c r="D104" s="147">
        <v>-0.70109314506946019</v>
      </c>
      <c r="E104" s="146">
        <v>9629</v>
      </c>
      <c r="F104" s="147">
        <f t="shared" si="9"/>
        <v>0.834095238095238</v>
      </c>
      <c r="G104" s="146">
        <v>19139</v>
      </c>
      <c r="H104" s="147">
        <f t="shared" si="9"/>
        <v>0.9876414996365146</v>
      </c>
      <c r="I104" s="146">
        <v>21237</v>
      </c>
      <c r="J104" s="147">
        <f t="shared" si="9"/>
        <v>0.10961910235644501</v>
      </c>
      <c r="K104" s="146">
        <v>20311</v>
      </c>
      <c r="L104" s="147">
        <f t="shared" si="9"/>
        <v>-4.3603145453689263E-2</v>
      </c>
      <c r="M104" s="146">
        <v>20050</v>
      </c>
      <c r="N104" s="147">
        <f t="shared" si="10"/>
        <v>-1.2850179705578224E-2</v>
      </c>
    </row>
    <row r="105" spans="2:14" x14ac:dyDescent="0.25">
      <c r="B105" s="145" t="s">
        <v>89</v>
      </c>
      <c r="C105" s="146">
        <v>1747</v>
      </c>
      <c r="D105" s="147">
        <v>-0.89290749708821182</v>
      </c>
      <c r="E105" s="146">
        <v>10075</v>
      </c>
      <c r="F105" s="147">
        <f t="shared" si="9"/>
        <v>4.7670291929021182</v>
      </c>
      <c r="G105" s="146">
        <v>16684</v>
      </c>
      <c r="H105" s="147">
        <f t="shared" si="9"/>
        <v>0.65598014888337475</v>
      </c>
      <c r="I105" s="146">
        <v>18724</v>
      </c>
      <c r="J105" s="147">
        <f t="shared" si="9"/>
        <v>0.12227283625029961</v>
      </c>
      <c r="K105" s="146">
        <v>18344</v>
      </c>
      <c r="L105" s="147">
        <f t="shared" si="9"/>
        <v>-2.0294808801538111E-2</v>
      </c>
      <c r="M105" s="146">
        <v>18796</v>
      </c>
      <c r="N105" s="147">
        <f t="shared" si="10"/>
        <v>2.4640209332751795E-2</v>
      </c>
    </row>
    <row r="106" spans="2:14" x14ac:dyDescent="0.25">
      <c r="B106" s="145" t="s">
        <v>91</v>
      </c>
      <c r="C106" s="146">
        <v>2909</v>
      </c>
      <c r="D106" s="147">
        <v>-0.84645025072578517</v>
      </c>
      <c r="E106" s="146">
        <v>18826</v>
      </c>
      <c r="F106" s="147">
        <f t="shared" si="9"/>
        <v>5.4716397387418354</v>
      </c>
      <c r="G106" s="146">
        <v>20676</v>
      </c>
      <c r="H106" s="147">
        <f t="shared" si="9"/>
        <v>9.8268352278763516E-2</v>
      </c>
      <c r="I106" s="146">
        <v>22630</v>
      </c>
      <c r="J106" s="147">
        <f t="shared" si="9"/>
        <v>9.4505707100019265E-2</v>
      </c>
      <c r="K106" s="146">
        <v>23852</v>
      </c>
      <c r="L106" s="147">
        <f t="shared" si="9"/>
        <v>5.3999116217410492E-2</v>
      </c>
      <c r="M106" s="146"/>
      <c r="N106" s="147"/>
    </row>
    <row r="107" spans="2:14" x14ac:dyDescent="0.25">
      <c r="B107" s="145" t="s">
        <v>93</v>
      </c>
      <c r="C107" s="146">
        <v>3366</v>
      </c>
      <c r="D107" s="147">
        <v>-0.8090970961887477</v>
      </c>
      <c r="E107" s="146">
        <v>18590</v>
      </c>
      <c r="F107" s="147">
        <f t="shared" si="9"/>
        <v>4.522875816993464</v>
      </c>
      <c r="G107" s="146">
        <v>19991</v>
      </c>
      <c r="H107" s="147">
        <f t="shared" si="9"/>
        <v>7.5363098440021536E-2</v>
      </c>
      <c r="I107" s="146">
        <v>22923</v>
      </c>
      <c r="J107" s="147">
        <f t="shared" si="9"/>
        <v>0.14666599969986494</v>
      </c>
      <c r="K107" s="146">
        <v>22059</v>
      </c>
      <c r="L107" s="147">
        <f t="shared" si="9"/>
        <v>-3.7691401648998868E-2</v>
      </c>
      <c r="M107" s="146"/>
      <c r="N107" s="147"/>
    </row>
    <row r="108" spans="2:14" x14ac:dyDescent="0.25">
      <c r="B108" s="145" t="s">
        <v>95</v>
      </c>
      <c r="C108" s="146">
        <v>4406</v>
      </c>
      <c r="D108" s="147">
        <v>-0.76511355155133809</v>
      </c>
      <c r="E108" s="146">
        <v>17746</v>
      </c>
      <c r="F108" s="147">
        <f t="shared" si="9"/>
        <v>3.0276895142986833</v>
      </c>
      <c r="G108" s="146">
        <v>21463</v>
      </c>
      <c r="H108" s="147">
        <f t="shared" si="9"/>
        <v>0.2094556519779105</v>
      </c>
      <c r="I108" s="146">
        <v>22259</v>
      </c>
      <c r="J108" s="147">
        <f t="shared" si="9"/>
        <v>3.7087080091319891E-2</v>
      </c>
      <c r="K108" s="146">
        <v>21891</v>
      </c>
      <c r="L108" s="147">
        <f t="shared" si="9"/>
        <v>-1.6532638483310103E-2</v>
      </c>
      <c r="M108" s="146"/>
      <c r="N108" s="147"/>
    </row>
    <row r="109" spans="2:14" ht="15.75" x14ac:dyDescent="0.25">
      <c r="B109" s="148" t="s">
        <v>32</v>
      </c>
      <c r="C109" s="149">
        <v>69842</v>
      </c>
      <c r="D109" s="150">
        <v>-0.65871964895649582</v>
      </c>
      <c r="E109" s="149">
        <v>95130</v>
      </c>
      <c r="F109" s="150">
        <f t="shared" si="9"/>
        <v>0.36207439649494577</v>
      </c>
      <c r="G109" s="149">
        <v>228056</v>
      </c>
      <c r="H109" s="150">
        <f t="shared" si="9"/>
        <v>1.3973089456533163</v>
      </c>
      <c r="I109" s="149">
        <v>246576</v>
      </c>
      <c r="J109" s="150">
        <f t="shared" si="9"/>
        <v>8.1208124320342412E-2</v>
      </c>
      <c r="K109" s="149">
        <v>258622</v>
      </c>
      <c r="L109" s="150">
        <f t="shared" si="9"/>
        <v>4.8853091947310467E-2</v>
      </c>
      <c r="M109" s="149">
        <v>187194</v>
      </c>
      <c r="N109" s="150">
        <v>-1.9002201027146004E-2</v>
      </c>
    </row>
    <row r="110" spans="2:14" ht="6" customHeight="1" x14ac:dyDescent="0.25"/>
    <row r="111" spans="2:14" x14ac:dyDescent="0.25">
      <c r="B111" s="131" t="s">
        <v>57</v>
      </c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</row>
    <row r="112" spans="2:14" x14ac:dyDescent="0.25">
      <c r="C112" s="151"/>
    </row>
    <row r="114" spans="1:15" ht="48.75" customHeight="1" thickBot="1" x14ac:dyDescent="0.3">
      <c r="B114" s="12" t="s">
        <v>243</v>
      </c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" t="s">
        <v>110</v>
      </c>
    </row>
    <row r="115" spans="1:15" ht="10.5" customHeight="1" thickBot="1" x14ac:dyDescent="0.3">
      <c r="B115" s="132"/>
      <c r="C115" s="133"/>
      <c r="D115" s="132"/>
      <c r="E115" s="132"/>
      <c r="F115" s="132"/>
      <c r="G115" s="132"/>
      <c r="H115" s="132"/>
      <c r="I115" s="132"/>
      <c r="J115" s="132"/>
      <c r="K115" s="132"/>
      <c r="L115" s="132"/>
      <c r="M115" s="4"/>
      <c r="N115" s="4"/>
      <c r="O115" s="1" t="s">
        <v>111</v>
      </c>
    </row>
    <row r="116" spans="1:15" ht="22.5" thickTop="1" thickBot="1" x14ac:dyDescent="0.3">
      <c r="B116" s="152" t="str">
        <f>C116</f>
        <v>Reino Unido</v>
      </c>
      <c r="C116" s="135" t="s">
        <v>112</v>
      </c>
      <c r="D116" s="136"/>
      <c r="E116" s="136"/>
      <c r="F116" s="136"/>
      <c r="G116" s="136"/>
      <c r="H116" s="136"/>
      <c r="I116" s="136"/>
      <c r="J116" s="136"/>
      <c r="K116" s="136"/>
      <c r="L116" s="136"/>
      <c r="M116" s="136"/>
      <c r="N116" s="136"/>
    </row>
    <row r="117" spans="1:15" ht="22.5" thickTop="1" thickBot="1" x14ac:dyDescent="0.3">
      <c r="B117" s="137"/>
      <c r="C117" s="138">
        <f>C$7</f>
        <v>2020</v>
      </c>
      <c r="D117" s="139"/>
      <c r="E117" s="138">
        <f>E$7</f>
        <v>2021</v>
      </c>
      <c r="F117" s="139"/>
      <c r="G117" s="138">
        <f>G$7</f>
        <v>2022</v>
      </c>
      <c r="H117" s="139"/>
      <c r="I117" s="138">
        <f>I$7</f>
        <v>2023</v>
      </c>
      <c r="J117" s="139"/>
      <c r="K117" s="138">
        <f>K$7</f>
        <v>2024</v>
      </c>
      <c r="L117" s="139"/>
      <c r="M117" s="138">
        <f>M$7</f>
        <v>2025</v>
      </c>
      <c r="N117" s="139"/>
    </row>
    <row r="118" spans="1:15" ht="16.5" thickTop="1" thickBot="1" x14ac:dyDescent="0.3">
      <c r="B118" s="109"/>
      <c r="C118" s="142" t="s">
        <v>71</v>
      </c>
      <c r="D118" s="143" t="str">
        <f>CONCATENATE("var ",RIGHT(C117,2),"/",RIGHT(C117-1,2))</f>
        <v>var 20/19</v>
      </c>
      <c r="E118" s="144" t="s">
        <v>71</v>
      </c>
      <c r="F118" s="143" t="str">
        <f>CONCATENATE("var ",RIGHT(E117,2),"/",RIGHT(E117-1,2))</f>
        <v>var 21/20</v>
      </c>
      <c r="G118" s="144" t="s">
        <v>71</v>
      </c>
      <c r="H118" s="143" t="str">
        <f>CONCATENATE("var ",RIGHT(G117,2),"/",RIGHT(G117-1,2))</f>
        <v>var 22/21</v>
      </c>
      <c r="I118" s="144" t="s">
        <v>71</v>
      </c>
      <c r="J118" s="143" t="str">
        <f>CONCATENATE("var ",RIGHT(I117,2),"/",RIGHT(I117-1,2))</f>
        <v>var 23/22</v>
      </c>
      <c r="K118" s="144" t="s">
        <v>71</v>
      </c>
      <c r="L118" s="143" t="str">
        <f>CONCATENATE("var ",RIGHT(K117,2),"/",RIGHT(K117-1,2))</f>
        <v>var 24/23</v>
      </c>
      <c r="M118" s="144" t="s">
        <v>71</v>
      </c>
      <c r="N118" s="143" t="str">
        <f>CONCATENATE("var ",RIGHT(M117,2),"/",RIGHT(M117-1,2))</f>
        <v>var 25/24</v>
      </c>
    </row>
    <row r="119" spans="1:15" x14ac:dyDescent="0.25">
      <c r="B119" s="145" t="s">
        <v>73</v>
      </c>
      <c r="C119" s="146">
        <v>8678</v>
      </c>
      <c r="D119" s="147">
        <v>8.8969757811519612E-2</v>
      </c>
      <c r="E119" s="146">
        <v>119</v>
      </c>
      <c r="F119" s="147">
        <f t="shared" ref="F119:L131" si="11">IFERROR(E119/C119-1,"-")</f>
        <v>-0.98628716294076979</v>
      </c>
      <c r="G119" s="146">
        <v>4593</v>
      </c>
      <c r="H119" s="147">
        <f t="shared" si="11"/>
        <v>37.596638655462186</v>
      </c>
      <c r="I119" s="146">
        <v>7748</v>
      </c>
      <c r="J119" s="147">
        <f t="shared" si="11"/>
        <v>0.68691487045504029</v>
      </c>
      <c r="K119" s="146">
        <v>8574</v>
      </c>
      <c r="L119" s="147">
        <f t="shared" si="11"/>
        <v>0.10660815694372738</v>
      </c>
      <c r="M119" s="146">
        <v>8868</v>
      </c>
      <c r="N119" s="147">
        <f t="shared" ref="N119:N127" si="12">IFERROR(M119/K119-1,"-")</f>
        <v>3.4289713086074203E-2</v>
      </c>
    </row>
    <row r="120" spans="1:15" x14ac:dyDescent="0.25">
      <c r="B120" s="145" t="s">
        <v>75</v>
      </c>
      <c r="C120" s="146">
        <v>8839</v>
      </c>
      <c r="D120" s="147">
        <v>9.0426844312854637E-2</v>
      </c>
      <c r="E120" s="146">
        <v>85</v>
      </c>
      <c r="F120" s="147">
        <f t="shared" si="11"/>
        <v>-0.99038352754836523</v>
      </c>
      <c r="G120" s="146">
        <v>7429</v>
      </c>
      <c r="H120" s="147">
        <f t="shared" si="11"/>
        <v>86.4</v>
      </c>
      <c r="I120" s="146">
        <v>8576</v>
      </c>
      <c r="J120" s="147">
        <f t="shared" si="11"/>
        <v>0.15439493875353349</v>
      </c>
      <c r="K120" s="146">
        <v>9308</v>
      </c>
      <c r="L120" s="147">
        <f t="shared" si="11"/>
        <v>8.5354477611940371E-2</v>
      </c>
      <c r="M120" s="146">
        <v>9450</v>
      </c>
      <c r="N120" s="147">
        <f t="shared" si="12"/>
        <v>1.5255694026643729E-2</v>
      </c>
    </row>
    <row r="121" spans="1:15" x14ac:dyDescent="0.25">
      <c r="B121" s="145" t="s">
        <v>77</v>
      </c>
      <c r="C121" s="146">
        <v>4215</v>
      </c>
      <c r="D121" s="147">
        <v>-0.47167209827024315</v>
      </c>
      <c r="E121" s="146">
        <v>65</v>
      </c>
      <c r="F121" s="147">
        <f t="shared" si="11"/>
        <v>-0.98457888493475687</v>
      </c>
      <c r="G121" s="146">
        <v>8841</v>
      </c>
      <c r="H121" s="147">
        <f t="shared" si="11"/>
        <v>135.01538461538462</v>
      </c>
      <c r="I121" s="146">
        <v>7226</v>
      </c>
      <c r="J121" s="147">
        <f t="shared" si="11"/>
        <v>-0.18267164347924447</v>
      </c>
      <c r="K121" s="146">
        <v>9445</v>
      </c>
      <c r="L121" s="147">
        <f t="shared" si="11"/>
        <v>0.30708552449487958</v>
      </c>
      <c r="M121" s="146">
        <v>9153</v>
      </c>
      <c r="N121" s="147">
        <f t="shared" si="12"/>
        <v>-3.0915828480677643E-2</v>
      </c>
    </row>
    <row r="122" spans="1:15" x14ac:dyDescent="0.25">
      <c r="B122" s="145" t="s">
        <v>79</v>
      </c>
      <c r="C122" s="146">
        <v>0</v>
      </c>
      <c r="D122" s="147">
        <v>-1</v>
      </c>
      <c r="E122" s="146">
        <v>43</v>
      </c>
      <c r="F122" s="147" t="str">
        <f t="shared" si="11"/>
        <v>-</v>
      </c>
      <c r="G122" s="146">
        <v>9017</v>
      </c>
      <c r="H122" s="147">
        <f t="shared" si="11"/>
        <v>208.69767441860466</v>
      </c>
      <c r="I122" s="146">
        <v>7139</v>
      </c>
      <c r="J122" s="147">
        <f t="shared" si="11"/>
        <v>-0.20827326161694582</v>
      </c>
      <c r="K122" s="146">
        <v>8977</v>
      </c>
      <c r="L122" s="147">
        <f t="shared" si="11"/>
        <v>0.25745902787505259</v>
      </c>
      <c r="M122" s="146">
        <v>9475</v>
      </c>
      <c r="N122" s="147">
        <f t="shared" si="12"/>
        <v>5.5475103041105145E-2</v>
      </c>
    </row>
    <row r="123" spans="1:15" x14ac:dyDescent="0.25">
      <c r="B123" s="145" t="s">
        <v>81</v>
      </c>
      <c r="C123" s="146">
        <v>0</v>
      </c>
      <c r="D123" s="147">
        <v>-1</v>
      </c>
      <c r="E123" s="146">
        <v>56</v>
      </c>
      <c r="F123" s="147" t="str">
        <f t="shared" si="11"/>
        <v>-</v>
      </c>
      <c r="G123" s="146">
        <v>8204</v>
      </c>
      <c r="H123" s="147">
        <f t="shared" si="11"/>
        <v>145.5</v>
      </c>
      <c r="I123" s="146">
        <v>8883</v>
      </c>
      <c r="J123" s="147">
        <f t="shared" si="11"/>
        <v>8.2764505119453879E-2</v>
      </c>
      <c r="K123" s="146">
        <v>10301</v>
      </c>
      <c r="L123" s="147">
        <f t="shared" si="11"/>
        <v>0.15963075537543614</v>
      </c>
      <c r="M123" s="146">
        <v>9728</v>
      </c>
      <c r="N123" s="147">
        <f t="shared" si="12"/>
        <v>-5.5625667410931001E-2</v>
      </c>
    </row>
    <row r="124" spans="1:15" x14ac:dyDescent="0.25">
      <c r="B124" s="145" t="s">
        <v>83</v>
      </c>
      <c r="C124" s="146">
        <v>0</v>
      </c>
      <c r="D124" s="147">
        <v>-1</v>
      </c>
      <c r="E124" s="146">
        <v>90</v>
      </c>
      <c r="F124" s="147" t="str">
        <f t="shared" si="11"/>
        <v>-</v>
      </c>
      <c r="G124" s="146">
        <v>7353</v>
      </c>
      <c r="H124" s="147">
        <f t="shared" si="11"/>
        <v>80.7</v>
      </c>
      <c r="I124" s="146">
        <v>8301</v>
      </c>
      <c r="J124" s="147">
        <f t="shared" si="11"/>
        <v>0.12892696858425134</v>
      </c>
      <c r="K124" s="146">
        <v>10338</v>
      </c>
      <c r="L124" s="147">
        <f t="shared" si="11"/>
        <v>0.24539212143115297</v>
      </c>
      <c r="M124" s="146">
        <v>10224</v>
      </c>
      <c r="N124" s="147">
        <f t="shared" si="12"/>
        <v>-1.1027278003482244E-2</v>
      </c>
    </row>
    <row r="125" spans="1:15" x14ac:dyDescent="0.25">
      <c r="B125" s="145" t="s">
        <v>85</v>
      </c>
      <c r="C125" s="146">
        <v>0</v>
      </c>
      <c r="D125" s="147">
        <v>-1</v>
      </c>
      <c r="E125" s="146">
        <v>659</v>
      </c>
      <c r="F125" s="147" t="str">
        <f t="shared" si="11"/>
        <v>-</v>
      </c>
      <c r="G125" s="146">
        <v>8399</v>
      </c>
      <c r="H125" s="147">
        <f t="shared" si="11"/>
        <v>11.745068285280729</v>
      </c>
      <c r="I125" s="146">
        <v>9581</v>
      </c>
      <c r="J125" s="147">
        <f t="shared" si="11"/>
        <v>0.14073103940945342</v>
      </c>
      <c r="K125" s="146">
        <v>10171</v>
      </c>
      <c r="L125" s="147">
        <f t="shared" si="11"/>
        <v>6.1580210833942273E-2</v>
      </c>
      <c r="M125" s="146">
        <v>10842</v>
      </c>
      <c r="N125" s="147">
        <f t="shared" si="12"/>
        <v>6.5971880837675689E-2</v>
      </c>
    </row>
    <row r="126" spans="1:15" x14ac:dyDescent="0.25">
      <c r="B126" s="145" t="s">
        <v>87</v>
      </c>
      <c r="C126" s="146">
        <v>302</v>
      </c>
      <c r="D126" s="147">
        <v>-0.96985727118474896</v>
      </c>
      <c r="E126" s="146">
        <v>2900</v>
      </c>
      <c r="F126" s="147">
        <f t="shared" si="11"/>
        <v>8.6026490066225172</v>
      </c>
      <c r="G126" s="146">
        <v>9415</v>
      </c>
      <c r="H126" s="147">
        <f t="shared" si="11"/>
        <v>2.2465517241379311</v>
      </c>
      <c r="I126" s="146">
        <v>10320</v>
      </c>
      <c r="J126" s="147">
        <f t="shared" si="11"/>
        <v>9.6123207647371256E-2</v>
      </c>
      <c r="K126" s="146">
        <v>10030</v>
      </c>
      <c r="L126" s="147">
        <f t="shared" si="11"/>
        <v>-2.81007751937985E-2</v>
      </c>
      <c r="M126" s="146">
        <v>10751</v>
      </c>
      <c r="N126" s="147">
        <f t="shared" si="12"/>
        <v>7.1884346959122603E-2</v>
      </c>
    </row>
    <row r="127" spans="1:15" x14ac:dyDescent="0.25">
      <c r="B127" s="145" t="s">
        <v>89</v>
      </c>
      <c r="C127" s="146">
        <v>247</v>
      </c>
      <c r="D127" s="147">
        <v>-0.97150438394093219</v>
      </c>
      <c r="E127" s="146">
        <v>2693</v>
      </c>
      <c r="F127" s="147">
        <f t="shared" si="11"/>
        <v>9.902834008097166</v>
      </c>
      <c r="G127" s="146">
        <v>8053</v>
      </c>
      <c r="H127" s="147">
        <f t="shared" si="11"/>
        <v>1.9903453397697737</v>
      </c>
      <c r="I127" s="146">
        <v>9284</v>
      </c>
      <c r="J127" s="147">
        <f t="shared" si="11"/>
        <v>0.15286228734633056</v>
      </c>
      <c r="K127" s="146">
        <v>9243</v>
      </c>
      <c r="L127" s="147">
        <f t="shared" si="11"/>
        <v>-4.4161999138302432E-3</v>
      </c>
      <c r="M127" s="146">
        <v>9507</v>
      </c>
      <c r="N127" s="147">
        <f t="shared" si="12"/>
        <v>2.8562155144433721E-2</v>
      </c>
    </row>
    <row r="128" spans="1:15" x14ac:dyDescent="0.25">
      <c r="A128" s="151"/>
      <c r="B128" s="145" t="s">
        <v>91</v>
      </c>
      <c r="C128" s="146">
        <v>683</v>
      </c>
      <c r="D128" s="147">
        <v>-0.93075831305758316</v>
      </c>
      <c r="E128" s="146">
        <v>6991</v>
      </c>
      <c r="F128" s="147">
        <f t="shared" si="11"/>
        <v>9.2357247437774532</v>
      </c>
      <c r="G128" s="146">
        <v>9529</v>
      </c>
      <c r="H128" s="147">
        <f t="shared" si="11"/>
        <v>0.36303819196109277</v>
      </c>
      <c r="I128" s="146">
        <v>10847</v>
      </c>
      <c r="J128" s="147">
        <f t="shared" si="11"/>
        <v>0.13831461853289961</v>
      </c>
      <c r="K128" s="146">
        <v>11119</v>
      </c>
      <c r="L128" s="147">
        <f t="shared" si="11"/>
        <v>2.5076057896192605E-2</v>
      </c>
      <c r="M128" s="146"/>
      <c r="N128" s="147"/>
    </row>
    <row r="129" spans="2:15" x14ac:dyDescent="0.25">
      <c r="B129" s="145" t="s">
        <v>93</v>
      </c>
      <c r="C129" s="146">
        <v>1361</v>
      </c>
      <c r="D129" s="147">
        <v>-0.83544915971466571</v>
      </c>
      <c r="E129" s="146">
        <v>7004</v>
      </c>
      <c r="F129" s="147">
        <f t="shared" si="11"/>
        <v>4.1462160176340923</v>
      </c>
      <c r="G129" s="146">
        <v>7510</v>
      </c>
      <c r="H129" s="147">
        <f t="shared" si="11"/>
        <v>7.2244431753283767E-2</v>
      </c>
      <c r="I129" s="146">
        <v>9244</v>
      </c>
      <c r="J129" s="147">
        <f t="shared" si="11"/>
        <v>0.23089214380825562</v>
      </c>
      <c r="K129" s="146">
        <v>9424</v>
      </c>
      <c r="L129" s="147">
        <f t="shared" si="11"/>
        <v>1.9472090004327036E-2</v>
      </c>
      <c r="M129" s="146"/>
      <c r="N129" s="147"/>
    </row>
    <row r="130" spans="2:15" x14ac:dyDescent="0.25">
      <c r="B130" s="145" t="s">
        <v>95</v>
      </c>
      <c r="C130" s="146">
        <v>1252</v>
      </c>
      <c r="D130" s="147">
        <v>-0.86241758241758237</v>
      </c>
      <c r="E130" s="146">
        <v>5762</v>
      </c>
      <c r="F130" s="147">
        <f t="shared" si="11"/>
        <v>3.6022364217252401</v>
      </c>
      <c r="G130" s="146">
        <v>8219</v>
      </c>
      <c r="H130" s="147">
        <f t="shared" si="11"/>
        <v>0.42641443943075319</v>
      </c>
      <c r="I130" s="146">
        <v>8681</v>
      </c>
      <c r="J130" s="147">
        <f t="shared" si="11"/>
        <v>5.6211217909721389E-2</v>
      </c>
      <c r="K130" s="146">
        <v>9229</v>
      </c>
      <c r="L130" s="147">
        <f t="shared" si="11"/>
        <v>6.3126367929962068E-2</v>
      </c>
      <c r="M130" s="146"/>
      <c r="N130" s="147"/>
    </row>
    <row r="131" spans="2:15" ht="15.75" x14ac:dyDescent="0.25">
      <c r="B131" s="148" t="s">
        <v>32</v>
      </c>
      <c r="C131" s="149">
        <v>26093</v>
      </c>
      <c r="D131" s="150">
        <v>-0.7405824045812911</v>
      </c>
      <c r="E131" s="149">
        <v>26467</v>
      </c>
      <c r="F131" s="150">
        <f t="shared" si="11"/>
        <v>1.4333346108151623E-2</v>
      </c>
      <c r="G131" s="149">
        <v>96562</v>
      </c>
      <c r="H131" s="150">
        <f t="shared" si="11"/>
        <v>2.6483923376279894</v>
      </c>
      <c r="I131" s="149">
        <v>105830</v>
      </c>
      <c r="J131" s="150">
        <f t="shared" si="11"/>
        <v>9.5979785008595497E-2</v>
      </c>
      <c r="K131" s="149">
        <v>116159</v>
      </c>
      <c r="L131" s="150">
        <f t="shared" si="11"/>
        <v>9.7599924407067995E-2</v>
      </c>
      <c r="M131" s="149">
        <v>87998</v>
      </c>
      <c r="N131" s="150">
        <v>1.8648639262851985E-2</v>
      </c>
    </row>
    <row r="132" spans="2:15" ht="6" customHeight="1" x14ac:dyDescent="0.25"/>
    <row r="133" spans="2:15" x14ac:dyDescent="0.25">
      <c r="B133" s="131" t="s">
        <v>57</v>
      </c>
      <c r="C133" s="131"/>
      <c r="D133" s="131"/>
      <c r="E133" s="131"/>
      <c r="F133" s="131"/>
      <c r="G133" s="131"/>
      <c r="H133" s="131"/>
      <c r="I133" s="131"/>
      <c r="J133" s="131"/>
      <c r="K133" s="131"/>
      <c r="L133" s="131"/>
      <c r="M133" s="131"/>
      <c r="N133" s="131"/>
    </row>
    <row r="134" spans="2:15" x14ac:dyDescent="0.25">
      <c r="K134" s="151"/>
      <c r="M134" s="151"/>
      <c r="N134" s="153"/>
    </row>
    <row r="136" spans="2:15" ht="48.75" customHeight="1" thickBot="1" x14ac:dyDescent="0.3">
      <c r="B136" s="12" t="s">
        <v>244</v>
      </c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" t="s">
        <v>113</v>
      </c>
    </row>
    <row r="137" spans="2:15" ht="10.5" customHeight="1" thickBot="1" x14ac:dyDescent="0.3">
      <c r="B137" s="132"/>
      <c r="C137" s="133"/>
      <c r="D137" s="132"/>
      <c r="E137" s="132"/>
      <c r="F137" s="132"/>
      <c r="G137" s="132"/>
      <c r="H137" s="132"/>
      <c r="I137" s="132"/>
      <c r="J137" s="132"/>
      <c r="K137" s="132"/>
      <c r="L137" s="132"/>
      <c r="M137" s="4"/>
      <c r="N137" s="4"/>
      <c r="O137" s="1" t="s">
        <v>114</v>
      </c>
    </row>
    <row r="138" spans="2:15" ht="22.5" thickTop="1" thickBot="1" x14ac:dyDescent="0.3">
      <c r="B138" s="152" t="str">
        <f>C138</f>
        <v>Alemania</v>
      </c>
      <c r="C138" s="135" t="s">
        <v>115</v>
      </c>
      <c r="D138" s="136"/>
      <c r="E138" s="136"/>
      <c r="F138" s="136"/>
      <c r="G138" s="136"/>
      <c r="H138" s="136"/>
      <c r="I138" s="136"/>
      <c r="J138" s="136"/>
      <c r="K138" s="136"/>
      <c r="L138" s="136"/>
      <c r="M138" s="136"/>
      <c r="N138" s="136"/>
    </row>
    <row r="139" spans="2:15" ht="22.5" thickTop="1" thickBot="1" x14ac:dyDescent="0.3">
      <c r="B139" s="137"/>
      <c r="C139" s="138">
        <f>C$7</f>
        <v>2020</v>
      </c>
      <c r="D139" s="139"/>
      <c r="E139" s="138">
        <f>E$7</f>
        <v>2021</v>
      </c>
      <c r="F139" s="139"/>
      <c r="G139" s="138">
        <f>G$7</f>
        <v>2022</v>
      </c>
      <c r="H139" s="139"/>
      <c r="I139" s="138">
        <f>I$7</f>
        <v>2023</v>
      </c>
      <c r="J139" s="139"/>
      <c r="K139" s="138">
        <f>K$7</f>
        <v>2024</v>
      </c>
      <c r="L139" s="139"/>
      <c r="M139" s="138">
        <f>M$7</f>
        <v>2025</v>
      </c>
      <c r="N139" s="139"/>
    </row>
    <row r="140" spans="2:15" ht="16.5" thickTop="1" thickBot="1" x14ac:dyDescent="0.3">
      <c r="B140" s="109"/>
      <c r="C140" s="142" t="s">
        <v>71</v>
      </c>
      <c r="D140" s="143" t="str">
        <f>CONCATENATE("var ",RIGHT(C139,2),"/",RIGHT(C139-1,2))</f>
        <v>var 20/19</v>
      </c>
      <c r="E140" s="144" t="s">
        <v>71</v>
      </c>
      <c r="F140" s="143" t="str">
        <f>CONCATENATE("var ",RIGHT(E139,2),"/",RIGHT(E139-1,2))</f>
        <v>var 21/20</v>
      </c>
      <c r="G140" s="144" t="s">
        <v>71</v>
      </c>
      <c r="H140" s="143" t="str">
        <f>CONCATENATE("var ",RIGHT(G139,2),"/",RIGHT(G139-1,2))</f>
        <v>var 22/21</v>
      </c>
      <c r="I140" s="144" t="s">
        <v>71</v>
      </c>
      <c r="J140" s="143" t="str">
        <f>CONCATENATE("var ",RIGHT(I139,2),"/",RIGHT(I139-1,2))</f>
        <v>var 23/22</v>
      </c>
      <c r="K140" s="144" t="s">
        <v>71</v>
      </c>
      <c r="L140" s="143" t="str">
        <f>CONCATENATE("var ",RIGHT(K139,2),"/",RIGHT(K139-1,2))</f>
        <v>var 24/23</v>
      </c>
      <c r="M140" s="144" t="s">
        <v>71</v>
      </c>
      <c r="N140" s="143" t="str">
        <f>CONCATENATE("var ",RIGHT(M139,2),"/",RIGHT(M139-1,2))</f>
        <v>var 25/24</v>
      </c>
    </row>
    <row r="141" spans="2:15" x14ac:dyDescent="0.25">
      <c r="B141" s="145" t="s">
        <v>73</v>
      </c>
      <c r="C141" s="146">
        <v>1507</v>
      </c>
      <c r="D141" s="147">
        <v>0.29913793103448283</v>
      </c>
      <c r="E141" s="146">
        <v>239</v>
      </c>
      <c r="F141" s="147">
        <f t="shared" ref="F141:L153" si="13">IFERROR(E141/C141-1,"-")</f>
        <v>-0.8414067684140677</v>
      </c>
      <c r="G141" s="146">
        <v>1070</v>
      </c>
      <c r="H141" s="147">
        <f t="shared" si="13"/>
        <v>3.476987447698745</v>
      </c>
      <c r="I141" s="146">
        <v>1623</v>
      </c>
      <c r="J141" s="147">
        <f t="shared" si="13"/>
        <v>0.51682242990654204</v>
      </c>
      <c r="K141" s="146">
        <v>1605</v>
      </c>
      <c r="L141" s="147">
        <f t="shared" si="13"/>
        <v>-1.1090573012939031E-2</v>
      </c>
      <c r="M141" s="146">
        <v>1749</v>
      </c>
      <c r="N141" s="147">
        <f t="shared" ref="N141:N149" si="14">IFERROR(M141/K141-1,"-")</f>
        <v>8.9719626168224265E-2</v>
      </c>
    </row>
    <row r="142" spans="2:15" x14ac:dyDescent="0.25">
      <c r="B142" s="145" t="s">
        <v>75</v>
      </c>
      <c r="C142" s="146">
        <v>1212</v>
      </c>
      <c r="D142" s="147">
        <v>1.6778523489932917E-2</v>
      </c>
      <c r="E142" s="146">
        <v>192</v>
      </c>
      <c r="F142" s="147">
        <f t="shared" si="13"/>
        <v>-0.84158415841584155</v>
      </c>
      <c r="G142" s="146">
        <v>1299</v>
      </c>
      <c r="H142" s="147">
        <f t="shared" si="13"/>
        <v>5.765625</v>
      </c>
      <c r="I142" s="146">
        <v>1902</v>
      </c>
      <c r="J142" s="147">
        <f t="shared" si="13"/>
        <v>0.46420323325635104</v>
      </c>
      <c r="K142" s="146">
        <v>2028</v>
      </c>
      <c r="L142" s="147">
        <f t="shared" si="13"/>
        <v>6.6246056782334417E-2</v>
      </c>
      <c r="M142" s="146">
        <v>1749</v>
      </c>
      <c r="N142" s="147">
        <f t="shared" si="14"/>
        <v>-0.1375739644970414</v>
      </c>
    </row>
    <row r="143" spans="2:15" x14ac:dyDescent="0.25">
      <c r="B143" s="145" t="s">
        <v>77</v>
      </c>
      <c r="C143" s="146">
        <v>620</v>
      </c>
      <c r="D143" s="147">
        <v>-0.53030303030303028</v>
      </c>
      <c r="E143" s="146">
        <v>316</v>
      </c>
      <c r="F143" s="147">
        <f t="shared" si="13"/>
        <v>-0.49032258064516132</v>
      </c>
      <c r="G143" s="146">
        <v>1553</v>
      </c>
      <c r="H143" s="147">
        <f t="shared" si="13"/>
        <v>3.9145569620253164</v>
      </c>
      <c r="I143" s="146">
        <v>2140</v>
      </c>
      <c r="J143" s="147">
        <f t="shared" si="13"/>
        <v>0.37797810688989064</v>
      </c>
      <c r="K143" s="146">
        <v>3428</v>
      </c>
      <c r="L143" s="147">
        <f t="shared" si="13"/>
        <v>0.60186915887850456</v>
      </c>
      <c r="M143" s="146">
        <v>2359</v>
      </c>
      <c r="N143" s="147">
        <f t="shared" si="14"/>
        <v>-0.31184364060676784</v>
      </c>
    </row>
    <row r="144" spans="2:15" x14ac:dyDescent="0.25">
      <c r="B144" s="145" t="s">
        <v>79</v>
      </c>
      <c r="C144" s="146">
        <v>0</v>
      </c>
      <c r="D144" s="147">
        <v>-1</v>
      </c>
      <c r="E144" s="146">
        <v>269</v>
      </c>
      <c r="F144" s="147" t="str">
        <f t="shared" si="13"/>
        <v>-</v>
      </c>
      <c r="G144" s="146">
        <v>1519</v>
      </c>
      <c r="H144" s="147">
        <f t="shared" si="13"/>
        <v>4.6468401486988844</v>
      </c>
      <c r="I144" s="146">
        <v>1573</v>
      </c>
      <c r="J144" s="147">
        <f t="shared" si="13"/>
        <v>3.5549703752468798E-2</v>
      </c>
      <c r="K144" s="146">
        <v>1590</v>
      </c>
      <c r="L144" s="147">
        <f t="shared" si="13"/>
        <v>1.0807374443738027E-2</v>
      </c>
      <c r="M144" s="146">
        <v>2129</v>
      </c>
      <c r="N144" s="147">
        <f t="shared" si="14"/>
        <v>0.33899371069182394</v>
      </c>
    </row>
    <row r="145" spans="1:15" x14ac:dyDescent="0.25">
      <c r="B145" s="145" t="s">
        <v>81</v>
      </c>
      <c r="C145" s="146">
        <v>0</v>
      </c>
      <c r="D145" s="147">
        <v>-1</v>
      </c>
      <c r="E145" s="146">
        <v>262</v>
      </c>
      <c r="F145" s="147" t="str">
        <f t="shared" si="13"/>
        <v>-</v>
      </c>
      <c r="G145" s="146">
        <v>881</v>
      </c>
      <c r="H145" s="147">
        <f t="shared" si="13"/>
        <v>2.3625954198473282</v>
      </c>
      <c r="I145" s="146">
        <v>1613</v>
      </c>
      <c r="J145" s="147">
        <f t="shared" si="13"/>
        <v>0.83087400681044277</v>
      </c>
      <c r="K145" s="146">
        <v>1681</v>
      </c>
      <c r="L145" s="147">
        <f t="shared" si="13"/>
        <v>4.2157470551766885E-2</v>
      </c>
      <c r="M145" s="146">
        <v>829</v>
      </c>
      <c r="N145" s="147">
        <f t="shared" si="14"/>
        <v>-0.50684116597263529</v>
      </c>
    </row>
    <row r="146" spans="1:15" x14ac:dyDescent="0.25">
      <c r="B146" s="145" t="s">
        <v>83</v>
      </c>
      <c r="C146" s="146">
        <v>0</v>
      </c>
      <c r="D146" s="147">
        <v>-1</v>
      </c>
      <c r="E146" s="146">
        <v>231</v>
      </c>
      <c r="F146" s="147" t="str">
        <f t="shared" si="13"/>
        <v>-</v>
      </c>
      <c r="G146" s="146">
        <v>1321</v>
      </c>
      <c r="H146" s="147">
        <f t="shared" si="13"/>
        <v>4.7186147186147185</v>
      </c>
      <c r="I146" s="146">
        <v>1398</v>
      </c>
      <c r="J146" s="147">
        <f t="shared" si="13"/>
        <v>5.8289174867524496E-2</v>
      </c>
      <c r="K146" s="146">
        <v>1391</v>
      </c>
      <c r="L146" s="147">
        <f t="shared" si="13"/>
        <v>-5.0071530758225569E-3</v>
      </c>
      <c r="M146" s="146">
        <v>1601</v>
      </c>
      <c r="N146" s="147">
        <f t="shared" si="14"/>
        <v>0.15097052480230055</v>
      </c>
    </row>
    <row r="147" spans="1:15" x14ac:dyDescent="0.25">
      <c r="B147" s="145" t="s">
        <v>85</v>
      </c>
      <c r="C147" s="146">
        <v>0</v>
      </c>
      <c r="D147" s="147">
        <v>-1</v>
      </c>
      <c r="E147" s="146">
        <v>675</v>
      </c>
      <c r="F147" s="147" t="str">
        <f t="shared" si="13"/>
        <v>-</v>
      </c>
      <c r="G147" s="146">
        <v>1114</v>
      </c>
      <c r="H147" s="147">
        <f t="shared" si="13"/>
        <v>0.65037037037037027</v>
      </c>
      <c r="I147" s="146">
        <v>1435</v>
      </c>
      <c r="J147" s="147">
        <f t="shared" si="13"/>
        <v>0.28815080789946146</v>
      </c>
      <c r="K147" s="146">
        <v>1166</v>
      </c>
      <c r="L147" s="147">
        <f t="shared" si="13"/>
        <v>-0.18745644599303135</v>
      </c>
      <c r="M147" s="146">
        <v>1615</v>
      </c>
      <c r="N147" s="147">
        <f t="shared" si="14"/>
        <v>0.38507718696397952</v>
      </c>
    </row>
    <row r="148" spans="1:15" x14ac:dyDescent="0.25">
      <c r="B148" s="145" t="s">
        <v>87</v>
      </c>
      <c r="C148" s="146">
        <v>902</v>
      </c>
      <c r="D148" s="147">
        <v>-0.17474839890210425</v>
      </c>
      <c r="E148" s="146">
        <v>905</v>
      </c>
      <c r="F148" s="147">
        <f t="shared" si="13"/>
        <v>3.3259423503326779E-3</v>
      </c>
      <c r="G148" s="146">
        <v>998</v>
      </c>
      <c r="H148" s="147">
        <f t="shared" si="13"/>
        <v>0.10276243093922655</v>
      </c>
      <c r="I148" s="146">
        <v>1506</v>
      </c>
      <c r="J148" s="147">
        <f t="shared" si="13"/>
        <v>0.50901803607214435</v>
      </c>
      <c r="K148" s="146">
        <v>1232</v>
      </c>
      <c r="L148" s="147">
        <f t="shared" si="13"/>
        <v>-0.18193891102257631</v>
      </c>
      <c r="M148" s="146">
        <v>1615</v>
      </c>
      <c r="N148" s="147">
        <f t="shared" si="14"/>
        <v>0.31087662337662336</v>
      </c>
    </row>
    <row r="149" spans="1:15" x14ac:dyDescent="0.25">
      <c r="B149" s="145" t="s">
        <v>89</v>
      </c>
      <c r="C149" s="146">
        <v>76</v>
      </c>
      <c r="D149" s="147">
        <v>-0.94685314685314681</v>
      </c>
      <c r="E149" s="146">
        <v>827</v>
      </c>
      <c r="F149" s="147">
        <f t="shared" si="13"/>
        <v>9.8815789473684212</v>
      </c>
      <c r="G149" s="146">
        <v>1047</v>
      </c>
      <c r="H149" s="147">
        <f t="shared" si="13"/>
        <v>0.2660217654171706</v>
      </c>
      <c r="I149" s="146">
        <v>1465</v>
      </c>
      <c r="J149" s="147">
        <f t="shared" si="13"/>
        <v>0.39923591212989495</v>
      </c>
      <c r="K149" s="146">
        <v>1114</v>
      </c>
      <c r="L149" s="147">
        <f t="shared" si="13"/>
        <v>-0.23959044368600679</v>
      </c>
      <c r="M149" s="146">
        <v>1615</v>
      </c>
      <c r="N149" s="147">
        <f t="shared" si="14"/>
        <v>0.4497307001795332</v>
      </c>
    </row>
    <row r="150" spans="1:15" x14ac:dyDescent="0.25">
      <c r="A150" s="151"/>
      <c r="B150" s="145" t="s">
        <v>91</v>
      </c>
      <c r="C150" s="146">
        <v>194</v>
      </c>
      <c r="D150" s="147">
        <v>-0.86694101508916321</v>
      </c>
      <c r="E150" s="146">
        <v>1854</v>
      </c>
      <c r="F150" s="147">
        <f t="shared" si="13"/>
        <v>8.5567010309278349</v>
      </c>
      <c r="G150" s="146">
        <v>1679</v>
      </c>
      <c r="H150" s="147">
        <f t="shared" si="13"/>
        <v>-9.4390507011866243E-2</v>
      </c>
      <c r="I150" s="146">
        <v>1982</v>
      </c>
      <c r="J150" s="147">
        <f t="shared" si="13"/>
        <v>0.18046456223942831</v>
      </c>
      <c r="K150" s="146">
        <v>1956</v>
      </c>
      <c r="L150" s="147">
        <f t="shared" si="13"/>
        <v>-1.3118062563067578E-2</v>
      </c>
      <c r="M150" s="146"/>
      <c r="N150" s="147"/>
    </row>
    <row r="151" spans="1:15" x14ac:dyDescent="0.25">
      <c r="B151" s="145" t="s">
        <v>93</v>
      </c>
      <c r="C151" s="146">
        <v>606</v>
      </c>
      <c r="D151" s="147">
        <v>-0.59491978609625673</v>
      </c>
      <c r="E151" s="146">
        <v>1955</v>
      </c>
      <c r="F151" s="147">
        <f t="shared" si="13"/>
        <v>2.226072607260726</v>
      </c>
      <c r="G151" s="146">
        <v>2421</v>
      </c>
      <c r="H151" s="147">
        <f t="shared" si="13"/>
        <v>0.23836317135549878</v>
      </c>
      <c r="I151" s="146">
        <v>2298</v>
      </c>
      <c r="J151" s="147">
        <f t="shared" si="13"/>
        <v>-5.0805452292441156E-2</v>
      </c>
      <c r="K151" s="146">
        <v>2484</v>
      </c>
      <c r="L151" s="147">
        <f t="shared" si="13"/>
        <v>8.0939947780678922E-2</v>
      </c>
      <c r="M151" s="146"/>
      <c r="N151" s="147"/>
    </row>
    <row r="152" spans="1:15" x14ac:dyDescent="0.25">
      <c r="B152" s="145" t="s">
        <v>95</v>
      </c>
      <c r="C152" s="146">
        <v>440</v>
      </c>
      <c r="D152" s="147">
        <v>-0.68023255813953487</v>
      </c>
      <c r="E152" s="146">
        <v>1573</v>
      </c>
      <c r="F152" s="147">
        <f t="shared" si="13"/>
        <v>2.5750000000000002</v>
      </c>
      <c r="G152" s="146">
        <v>1685</v>
      </c>
      <c r="H152" s="147">
        <f t="shared" si="13"/>
        <v>7.1201525746980243E-2</v>
      </c>
      <c r="I152" s="146">
        <v>1850</v>
      </c>
      <c r="J152" s="147">
        <f t="shared" si="13"/>
        <v>9.7922848664688367E-2</v>
      </c>
      <c r="K152" s="146">
        <v>1784</v>
      </c>
      <c r="L152" s="147">
        <f t="shared" si="13"/>
        <v>-3.5675675675675644E-2</v>
      </c>
      <c r="M152" s="146"/>
      <c r="N152" s="147"/>
    </row>
    <row r="153" spans="1:15" ht="15.75" x14ac:dyDescent="0.25">
      <c r="B153" s="148" t="s">
        <v>32</v>
      </c>
      <c r="C153" s="149">
        <v>6042</v>
      </c>
      <c r="D153" s="150">
        <v>-0.59968197177499505</v>
      </c>
      <c r="E153" s="149">
        <v>9298</v>
      </c>
      <c r="F153" s="150">
        <f t="shared" si="13"/>
        <v>0.53889440582588555</v>
      </c>
      <c r="G153" s="149">
        <v>16587</v>
      </c>
      <c r="H153" s="150">
        <f t="shared" si="13"/>
        <v>0.78393202839320275</v>
      </c>
      <c r="I153" s="149">
        <v>20785</v>
      </c>
      <c r="J153" s="150">
        <f t="shared" si="13"/>
        <v>0.25308976909628011</v>
      </c>
      <c r="K153" s="149">
        <v>21459</v>
      </c>
      <c r="L153" s="150">
        <f t="shared" si="13"/>
        <v>3.2427231176329174E-2</v>
      </c>
      <c r="M153" s="149">
        <v>14913</v>
      </c>
      <c r="N153" s="150">
        <v>-2.1135543157203784E-2</v>
      </c>
    </row>
    <row r="154" spans="1:15" ht="6" customHeight="1" x14ac:dyDescent="0.25"/>
    <row r="155" spans="1:15" x14ac:dyDescent="0.25">
      <c r="B155" s="131" t="s">
        <v>57</v>
      </c>
      <c r="C155" s="131"/>
      <c r="D155" s="131"/>
      <c r="E155" s="131"/>
      <c r="F155" s="131"/>
      <c r="G155" s="131"/>
      <c r="H155" s="131"/>
      <c r="I155" s="131"/>
      <c r="J155" s="131"/>
      <c r="K155" s="131"/>
      <c r="L155" s="131"/>
      <c r="M155" s="131"/>
      <c r="N155" s="131"/>
    </row>
    <row r="156" spans="1:15" x14ac:dyDescent="0.25">
      <c r="K156" s="151"/>
      <c r="N156" s="154"/>
    </row>
    <row r="158" spans="1:15" ht="48.75" customHeight="1" thickBot="1" x14ac:dyDescent="0.3">
      <c r="B158" s="12" t="s">
        <v>245</v>
      </c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" t="s">
        <v>116</v>
      </c>
    </row>
    <row r="159" spans="1:15" ht="10.5" customHeight="1" thickBot="1" x14ac:dyDescent="0.3">
      <c r="B159" s="132"/>
      <c r="C159" s="133"/>
      <c r="D159" s="132"/>
      <c r="E159" s="132"/>
      <c r="F159" s="132"/>
      <c r="G159" s="132"/>
      <c r="H159" s="132"/>
      <c r="I159" s="132"/>
      <c r="J159" s="132"/>
      <c r="K159" s="132"/>
      <c r="L159" s="132"/>
      <c r="M159" s="4"/>
      <c r="N159" s="4"/>
      <c r="O159" s="1" t="s">
        <v>117</v>
      </c>
    </row>
    <row r="160" spans="1:15" ht="22.5" thickTop="1" thickBot="1" x14ac:dyDescent="0.3">
      <c r="B160" s="152" t="str">
        <f>C160</f>
        <v>Francia</v>
      </c>
      <c r="C160" s="135" t="s">
        <v>118</v>
      </c>
      <c r="D160" s="136"/>
      <c r="E160" s="136"/>
      <c r="F160" s="136"/>
      <c r="G160" s="136"/>
      <c r="H160" s="136"/>
      <c r="I160" s="136"/>
      <c r="J160" s="136"/>
      <c r="K160" s="136"/>
      <c r="L160" s="136"/>
      <c r="M160" s="136"/>
      <c r="N160" s="136"/>
    </row>
    <row r="161" spans="2:14" ht="22.5" thickTop="1" thickBot="1" x14ac:dyDescent="0.3">
      <c r="B161" s="137"/>
      <c r="C161" s="138">
        <f>C$7</f>
        <v>2020</v>
      </c>
      <c r="D161" s="139"/>
      <c r="E161" s="138">
        <f>E$7</f>
        <v>2021</v>
      </c>
      <c r="F161" s="139"/>
      <c r="G161" s="138">
        <f>G$7</f>
        <v>2022</v>
      </c>
      <c r="H161" s="139"/>
      <c r="I161" s="138">
        <f>I$7</f>
        <v>2023</v>
      </c>
      <c r="J161" s="139"/>
      <c r="K161" s="138">
        <f>K$7</f>
        <v>2024</v>
      </c>
      <c r="L161" s="139"/>
      <c r="M161" s="138">
        <f>M$7</f>
        <v>2025</v>
      </c>
      <c r="N161" s="139"/>
    </row>
    <row r="162" spans="2:14" ht="16.5" thickTop="1" thickBot="1" x14ac:dyDescent="0.3">
      <c r="B162" s="109"/>
      <c r="C162" s="142" t="s">
        <v>71</v>
      </c>
      <c r="D162" s="143" t="str">
        <f>CONCATENATE("var ",RIGHT(C161,2),"/",RIGHT(C161-1,2))</f>
        <v>var 20/19</v>
      </c>
      <c r="E162" s="144" t="s">
        <v>71</v>
      </c>
      <c r="F162" s="143" t="str">
        <f>CONCATENATE("var ",RIGHT(E161,2),"/",RIGHT(E161-1,2))</f>
        <v>var 21/20</v>
      </c>
      <c r="G162" s="144" t="s">
        <v>71</v>
      </c>
      <c r="H162" s="143" t="str">
        <f>CONCATENATE("var ",RIGHT(G161,2),"/",RIGHT(G161-1,2))</f>
        <v>var 22/21</v>
      </c>
      <c r="I162" s="144" t="s">
        <v>71</v>
      </c>
      <c r="J162" s="143" t="str">
        <f>CONCATENATE("var ",RIGHT(I161,2),"/",RIGHT(I161-1,2))</f>
        <v>var 23/22</v>
      </c>
      <c r="K162" s="144" t="s">
        <v>71</v>
      </c>
      <c r="L162" s="143" t="str">
        <f>CONCATENATE("var ",RIGHT(K161,2),"/",RIGHT(K161-1,2))</f>
        <v>var 24/23</v>
      </c>
      <c r="M162" s="144" t="s">
        <v>71</v>
      </c>
      <c r="N162" s="143" t="str">
        <f>CONCATENATE("var ",RIGHT(M161,2),"/",RIGHT(M161-1,2))</f>
        <v>var 25/24</v>
      </c>
    </row>
    <row r="163" spans="2:14" x14ac:dyDescent="0.25">
      <c r="B163" s="145" t="s">
        <v>73</v>
      </c>
      <c r="C163" s="146">
        <v>1411</v>
      </c>
      <c r="D163" s="147">
        <v>0.10927672955974832</v>
      </c>
      <c r="E163" s="146">
        <v>1035</v>
      </c>
      <c r="F163" s="147">
        <f t="shared" ref="F163:L175" si="15">IFERROR(E163/C163-1,"-")</f>
        <v>-0.26647767540751244</v>
      </c>
      <c r="G163" s="146">
        <v>1353</v>
      </c>
      <c r="H163" s="147">
        <f t="shared" si="15"/>
        <v>0.30724637681159428</v>
      </c>
      <c r="I163" s="146">
        <v>1657</v>
      </c>
      <c r="J163" s="147">
        <f t="shared" si="15"/>
        <v>0.22468588322246852</v>
      </c>
      <c r="K163" s="146">
        <v>1470</v>
      </c>
      <c r="L163" s="147">
        <f t="shared" si="15"/>
        <v>-0.11285455642727826</v>
      </c>
      <c r="M163" s="146">
        <v>1563</v>
      </c>
      <c r="N163" s="147">
        <f t="shared" ref="N163:N171" si="16">IFERROR(M163/K163-1,"-")</f>
        <v>6.3265306122449072E-2</v>
      </c>
    </row>
    <row r="164" spans="2:14" x14ac:dyDescent="0.25">
      <c r="B164" s="145" t="s">
        <v>75</v>
      </c>
      <c r="C164" s="146">
        <v>1560</v>
      </c>
      <c r="D164" s="147">
        <v>-6.1936259771497304E-2</v>
      </c>
      <c r="E164" s="146">
        <v>945</v>
      </c>
      <c r="F164" s="147">
        <f t="shared" si="15"/>
        <v>-0.39423076923076927</v>
      </c>
      <c r="G164" s="146">
        <v>2904</v>
      </c>
      <c r="H164" s="147">
        <f t="shared" si="15"/>
        <v>2.0730158730158732</v>
      </c>
      <c r="I164" s="146">
        <v>2192</v>
      </c>
      <c r="J164" s="147">
        <f t="shared" si="15"/>
        <v>-0.24517906336088158</v>
      </c>
      <c r="K164" s="146">
        <v>2057</v>
      </c>
      <c r="L164" s="147">
        <f t="shared" si="15"/>
        <v>-6.1587591240875872E-2</v>
      </c>
      <c r="M164" s="146">
        <v>2346</v>
      </c>
      <c r="N164" s="147">
        <f t="shared" si="16"/>
        <v>0.14049586776859502</v>
      </c>
    </row>
    <row r="165" spans="2:14" x14ac:dyDescent="0.25">
      <c r="B165" s="145" t="s">
        <v>77</v>
      </c>
      <c r="C165" s="146">
        <v>592</v>
      </c>
      <c r="D165" s="147">
        <v>-0.64315852923447858</v>
      </c>
      <c r="E165" s="146">
        <v>728</v>
      </c>
      <c r="F165" s="147">
        <f t="shared" si="15"/>
        <v>0.22972972972972983</v>
      </c>
      <c r="G165" s="146">
        <v>2196</v>
      </c>
      <c r="H165" s="147">
        <f t="shared" si="15"/>
        <v>2.0164835164835164</v>
      </c>
      <c r="I165" s="146">
        <v>1764</v>
      </c>
      <c r="J165" s="147">
        <f t="shared" si="15"/>
        <v>-0.19672131147540983</v>
      </c>
      <c r="K165" s="146">
        <v>2459</v>
      </c>
      <c r="L165" s="147">
        <f t="shared" si="15"/>
        <v>0.39399092970521532</v>
      </c>
      <c r="M165" s="146">
        <v>2000</v>
      </c>
      <c r="N165" s="147">
        <f t="shared" si="16"/>
        <v>-0.18666124440829601</v>
      </c>
    </row>
    <row r="166" spans="2:14" x14ac:dyDescent="0.25">
      <c r="B166" s="145" t="s">
        <v>79</v>
      </c>
      <c r="C166" s="146">
        <v>0</v>
      </c>
      <c r="D166" s="147">
        <v>-1</v>
      </c>
      <c r="E166" s="146">
        <v>473</v>
      </c>
      <c r="F166" s="147" t="str">
        <f t="shared" si="15"/>
        <v>-</v>
      </c>
      <c r="G166" s="146">
        <v>2930</v>
      </c>
      <c r="H166" s="147">
        <f t="shared" si="15"/>
        <v>5.1945031712473577</v>
      </c>
      <c r="I166" s="146">
        <v>2972</v>
      </c>
      <c r="J166" s="147">
        <f t="shared" si="15"/>
        <v>1.4334470989761039E-2</v>
      </c>
      <c r="K166" s="146">
        <v>3165</v>
      </c>
      <c r="L166" s="147">
        <f t="shared" si="15"/>
        <v>6.4939434724091472E-2</v>
      </c>
      <c r="M166" s="146">
        <v>2200</v>
      </c>
      <c r="N166" s="147">
        <f t="shared" si="16"/>
        <v>-0.30489731437598733</v>
      </c>
    </row>
    <row r="167" spans="2:14" x14ac:dyDescent="0.25">
      <c r="B167" s="145" t="s">
        <v>81</v>
      </c>
      <c r="C167" s="146">
        <v>0</v>
      </c>
      <c r="D167" s="147">
        <v>-1</v>
      </c>
      <c r="E167" s="146">
        <v>899</v>
      </c>
      <c r="F167" s="147" t="str">
        <f t="shared" si="15"/>
        <v>-</v>
      </c>
      <c r="G167" s="146">
        <v>2517</v>
      </c>
      <c r="H167" s="147">
        <f t="shared" si="15"/>
        <v>1.799777530589544</v>
      </c>
      <c r="I167" s="146">
        <v>2516</v>
      </c>
      <c r="J167" s="147">
        <f t="shared" si="15"/>
        <v>-3.9729837107671528E-4</v>
      </c>
      <c r="K167" s="146">
        <v>2477</v>
      </c>
      <c r="L167" s="147">
        <f t="shared" si="15"/>
        <v>-1.5500794912559623E-2</v>
      </c>
      <c r="M167" s="146">
        <v>1698</v>
      </c>
      <c r="N167" s="147">
        <f t="shared" si="16"/>
        <v>-0.3144933387161889</v>
      </c>
    </row>
    <row r="168" spans="2:14" x14ac:dyDescent="0.25">
      <c r="B168" s="145" t="s">
        <v>83</v>
      </c>
      <c r="C168" s="146">
        <v>0</v>
      </c>
      <c r="D168" s="147">
        <v>-1</v>
      </c>
      <c r="E168" s="146">
        <v>377</v>
      </c>
      <c r="F168" s="147" t="str">
        <f t="shared" si="15"/>
        <v>-</v>
      </c>
      <c r="G168" s="146">
        <v>1955</v>
      </c>
      <c r="H168" s="147">
        <f t="shared" si="15"/>
        <v>4.1856763925729439</v>
      </c>
      <c r="I168" s="146">
        <v>1820</v>
      </c>
      <c r="J168" s="147">
        <f t="shared" si="15"/>
        <v>-6.9053708439897665E-2</v>
      </c>
      <c r="K168" s="146">
        <v>1716</v>
      </c>
      <c r="L168" s="147">
        <f t="shared" si="15"/>
        <v>-5.7142857142857162E-2</v>
      </c>
      <c r="M168" s="146">
        <v>1687</v>
      </c>
      <c r="N168" s="147">
        <f t="shared" si="16"/>
        <v>-1.689976689976691E-2</v>
      </c>
    </row>
    <row r="169" spans="2:14" x14ac:dyDescent="0.25">
      <c r="B169" s="145" t="s">
        <v>85</v>
      </c>
      <c r="C169" s="146">
        <v>0</v>
      </c>
      <c r="D169" s="147">
        <v>-1</v>
      </c>
      <c r="E169" s="146">
        <v>1143</v>
      </c>
      <c r="F169" s="147" t="str">
        <f t="shared" si="15"/>
        <v>-</v>
      </c>
      <c r="G169" s="146">
        <v>2623</v>
      </c>
      <c r="H169" s="147">
        <f t="shared" si="15"/>
        <v>1.294838145231846</v>
      </c>
      <c r="I169" s="146">
        <v>1969</v>
      </c>
      <c r="J169" s="147">
        <f t="shared" si="15"/>
        <v>-0.24933282500953102</v>
      </c>
      <c r="K169" s="146">
        <v>1892</v>
      </c>
      <c r="L169" s="147">
        <f t="shared" si="15"/>
        <v>-3.9106145251396662E-2</v>
      </c>
      <c r="M169" s="146">
        <v>2124</v>
      </c>
      <c r="N169" s="147">
        <f t="shared" si="16"/>
        <v>0.12262156448202965</v>
      </c>
    </row>
    <row r="170" spans="2:14" x14ac:dyDescent="0.25">
      <c r="B170" s="145" t="s">
        <v>87</v>
      </c>
      <c r="C170" s="146">
        <v>877</v>
      </c>
      <c r="D170" s="147">
        <v>-0.5550481988838154</v>
      </c>
      <c r="E170" s="146">
        <v>1745</v>
      </c>
      <c r="F170" s="147">
        <f t="shared" si="15"/>
        <v>0.98973774230330669</v>
      </c>
      <c r="G170" s="146">
        <v>2466</v>
      </c>
      <c r="H170" s="147">
        <f t="shared" si="15"/>
        <v>0.41318051575931225</v>
      </c>
      <c r="I170" s="146">
        <v>2255</v>
      </c>
      <c r="J170" s="147">
        <f t="shared" si="15"/>
        <v>-8.5563665855636684E-2</v>
      </c>
      <c r="K170" s="146">
        <v>2125</v>
      </c>
      <c r="L170" s="147">
        <f t="shared" si="15"/>
        <v>-5.7649667405764937E-2</v>
      </c>
      <c r="M170" s="146">
        <v>2041</v>
      </c>
      <c r="N170" s="147">
        <f t="shared" si="16"/>
        <v>-3.9529411764705924E-2</v>
      </c>
    </row>
    <row r="171" spans="2:14" x14ac:dyDescent="0.25">
      <c r="B171" s="145" t="s">
        <v>89</v>
      </c>
      <c r="C171" s="146">
        <v>256</v>
      </c>
      <c r="D171" s="147">
        <v>-0.83079973562458687</v>
      </c>
      <c r="E171" s="146">
        <v>1185</v>
      </c>
      <c r="F171" s="147">
        <f t="shared" si="15"/>
        <v>3.62890625</v>
      </c>
      <c r="G171" s="146">
        <v>1641</v>
      </c>
      <c r="H171" s="147">
        <f t="shared" si="15"/>
        <v>0.38481012658227853</v>
      </c>
      <c r="I171" s="146">
        <v>2059</v>
      </c>
      <c r="J171" s="147">
        <f t="shared" si="15"/>
        <v>0.25472273004265689</v>
      </c>
      <c r="K171" s="146">
        <v>1668</v>
      </c>
      <c r="L171" s="147">
        <f t="shared" si="15"/>
        <v>-0.18989800874210783</v>
      </c>
      <c r="M171" s="146">
        <v>1642</v>
      </c>
      <c r="N171" s="147">
        <f t="shared" si="16"/>
        <v>-1.5587529976019199E-2</v>
      </c>
    </row>
    <row r="172" spans="2:14" x14ac:dyDescent="0.25">
      <c r="B172" s="145" t="s">
        <v>91</v>
      </c>
      <c r="C172" s="146">
        <v>841</v>
      </c>
      <c r="D172" s="147">
        <v>-0.57309644670050763</v>
      </c>
      <c r="E172" s="146">
        <v>2808</v>
      </c>
      <c r="F172" s="147">
        <f t="shared" si="15"/>
        <v>2.3388822829964329</v>
      </c>
      <c r="G172" s="146">
        <v>2797</v>
      </c>
      <c r="H172" s="147">
        <f t="shared" si="15"/>
        <v>-3.9173789173788665E-3</v>
      </c>
      <c r="I172" s="146">
        <v>2556</v>
      </c>
      <c r="J172" s="147">
        <f t="shared" si="15"/>
        <v>-8.6163746871648184E-2</v>
      </c>
      <c r="K172" s="146">
        <v>2794</v>
      </c>
      <c r="L172" s="147">
        <f t="shared" si="15"/>
        <v>9.3114241001564846E-2</v>
      </c>
      <c r="M172" s="146"/>
      <c r="N172" s="147"/>
    </row>
    <row r="173" spans="2:14" x14ac:dyDescent="0.25">
      <c r="B173" s="145" t="s">
        <v>93</v>
      </c>
      <c r="C173" s="146">
        <v>60</v>
      </c>
      <c r="D173" s="147">
        <v>-0.94565217391304346</v>
      </c>
      <c r="E173" s="146">
        <v>2009</v>
      </c>
      <c r="F173" s="147">
        <f t="shared" si="15"/>
        <v>32.483333333333334</v>
      </c>
      <c r="G173" s="146">
        <v>1616</v>
      </c>
      <c r="H173" s="147">
        <f t="shared" si="15"/>
        <v>-0.19561971129915379</v>
      </c>
      <c r="I173" s="146">
        <v>1504</v>
      </c>
      <c r="J173" s="147">
        <f t="shared" si="15"/>
        <v>-6.9306930693069257E-2</v>
      </c>
      <c r="K173" s="146">
        <v>1368</v>
      </c>
      <c r="L173" s="147">
        <f t="shared" si="15"/>
        <v>-9.0425531914893664E-2</v>
      </c>
      <c r="M173" s="146"/>
      <c r="N173" s="147"/>
    </row>
    <row r="174" spans="2:14" x14ac:dyDescent="0.25">
      <c r="B174" s="145" t="s">
        <v>95</v>
      </c>
      <c r="C174" s="146">
        <v>767</v>
      </c>
      <c r="D174" s="147">
        <v>-0.42069486404833834</v>
      </c>
      <c r="E174" s="146">
        <v>1899</v>
      </c>
      <c r="F174" s="147">
        <f t="shared" si="15"/>
        <v>1.4758800521512385</v>
      </c>
      <c r="G174" s="146">
        <v>1942</v>
      </c>
      <c r="H174" s="147">
        <f t="shared" si="15"/>
        <v>2.2643496577145816E-2</v>
      </c>
      <c r="I174" s="146">
        <v>1825</v>
      </c>
      <c r="J174" s="147">
        <f t="shared" si="15"/>
        <v>-6.0247167868177187E-2</v>
      </c>
      <c r="K174" s="146">
        <v>1388</v>
      </c>
      <c r="L174" s="147">
        <f t="shared" si="15"/>
        <v>-0.23945205479452059</v>
      </c>
      <c r="M174" s="146"/>
      <c r="N174" s="147"/>
    </row>
    <row r="175" spans="2:14" ht="15.75" x14ac:dyDescent="0.25">
      <c r="B175" s="148" t="s">
        <v>32</v>
      </c>
      <c r="C175" s="149">
        <v>6586</v>
      </c>
      <c r="D175" s="150">
        <v>-0.6643563347263276</v>
      </c>
      <c r="E175" s="149">
        <v>15246</v>
      </c>
      <c r="F175" s="150">
        <f t="shared" si="15"/>
        <v>1.3149104160340115</v>
      </c>
      <c r="G175" s="149">
        <v>26940</v>
      </c>
      <c r="H175" s="150">
        <f t="shared" si="15"/>
        <v>0.7670208579299489</v>
      </c>
      <c r="I175" s="149">
        <v>25089</v>
      </c>
      <c r="J175" s="150">
        <f t="shared" si="15"/>
        <v>-6.8708240534521181E-2</v>
      </c>
      <c r="K175" s="149">
        <v>24579</v>
      </c>
      <c r="L175" s="150">
        <f t="shared" si="15"/>
        <v>-2.0327633624297459E-2</v>
      </c>
      <c r="M175" s="149">
        <v>17301</v>
      </c>
      <c r="N175" s="150">
        <v>-9.0808765568343053E-2</v>
      </c>
    </row>
    <row r="176" spans="2:14" ht="6" customHeight="1" x14ac:dyDescent="0.25"/>
    <row r="177" spans="1:15" x14ac:dyDescent="0.25">
      <c r="B177" s="131" t="s">
        <v>57</v>
      </c>
      <c r="C177" s="131"/>
      <c r="D177" s="131"/>
      <c r="E177" s="131"/>
      <c r="F177" s="131"/>
      <c r="G177" s="131"/>
      <c r="H177" s="131"/>
      <c r="I177" s="131"/>
      <c r="J177" s="131"/>
      <c r="K177" s="155"/>
      <c r="L177" s="131"/>
      <c r="M177" s="131"/>
      <c r="N177" s="131"/>
    </row>
    <row r="180" spans="1:15" ht="48.75" customHeight="1" thickBot="1" x14ac:dyDescent="0.3">
      <c r="B180" s="12" t="s">
        <v>246</v>
      </c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" t="s">
        <v>119</v>
      </c>
    </row>
    <row r="181" spans="1:15" ht="10.5" customHeight="1" thickBot="1" x14ac:dyDescent="0.3">
      <c r="B181" s="132"/>
      <c r="C181" s="133"/>
      <c r="D181" s="132"/>
      <c r="E181" s="132"/>
      <c r="F181" s="132"/>
      <c r="G181" s="132"/>
      <c r="H181" s="132"/>
      <c r="I181" s="132"/>
      <c r="J181" s="132"/>
      <c r="K181" s="132"/>
      <c r="L181" s="132"/>
      <c r="M181" s="4"/>
      <c r="N181" s="4"/>
      <c r="O181" s="1" t="s">
        <v>120</v>
      </c>
    </row>
    <row r="182" spans="1:15" ht="22.5" thickTop="1" thickBot="1" x14ac:dyDescent="0.3">
      <c r="B182" s="152" t="str">
        <f>C182</f>
        <v>Bélgica</v>
      </c>
      <c r="C182" s="135" t="s">
        <v>121</v>
      </c>
      <c r="D182" s="136"/>
      <c r="E182" s="136"/>
      <c r="F182" s="136"/>
      <c r="G182" s="136"/>
      <c r="H182" s="136"/>
      <c r="I182" s="136"/>
      <c r="J182" s="136"/>
      <c r="K182" s="136"/>
      <c r="L182" s="136"/>
      <c r="M182" s="136"/>
      <c r="N182" s="136"/>
    </row>
    <row r="183" spans="1:15" ht="22.5" thickTop="1" thickBot="1" x14ac:dyDescent="0.3">
      <c r="B183" s="137"/>
      <c r="C183" s="138">
        <f>C$7</f>
        <v>2020</v>
      </c>
      <c r="D183" s="139"/>
      <c r="E183" s="138">
        <f>E$7</f>
        <v>2021</v>
      </c>
      <c r="F183" s="139"/>
      <c r="G183" s="138">
        <f>G$7</f>
        <v>2022</v>
      </c>
      <c r="H183" s="139"/>
      <c r="I183" s="138">
        <f>I$7</f>
        <v>2023</v>
      </c>
      <c r="J183" s="139"/>
      <c r="K183" s="138">
        <f>K$7</f>
        <v>2024</v>
      </c>
      <c r="L183" s="139"/>
      <c r="M183" s="138">
        <f>M$7</f>
        <v>2025</v>
      </c>
      <c r="N183" s="139"/>
    </row>
    <row r="184" spans="1:15" ht="16.5" thickTop="1" thickBot="1" x14ac:dyDescent="0.3">
      <c r="B184" s="109"/>
      <c r="C184" s="142" t="s">
        <v>71</v>
      </c>
      <c r="D184" s="143" t="str">
        <f>CONCATENATE("var ",RIGHT(C183,2),"/",RIGHT(C183-1,2))</f>
        <v>var 20/19</v>
      </c>
      <c r="E184" s="144" t="s">
        <v>71</v>
      </c>
      <c r="F184" s="143" t="str">
        <f>CONCATENATE("var ",RIGHT(E183,2),"/",RIGHT(E183-1,2))</f>
        <v>var 21/20</v>
      </c>
      <c r="G184" s="144" t="s">
        <v>71</v>
      </c>
      <c r="H184" s="143" t="str">
        <f>CONCATENATE("var ",RIGHT(G183,2),"/",RIGHT(G183-1,2))</f>
        <v>var 22/21</v>
      </c>
      <c r="I184" s="144" t="s">
        <v>71</v>
      </c>
      <c r="J184" s="143" t="str">
        <f>CONCATENATE("var ",RIGHT(I183,2),"/",RIGHT(I183-1,2))</f>
        <v>var 23/22</v>
      </c>
      <c r="K184" s="144" t="s">
        <v>71</v>
      </c>
      <c r="L184" s="143" t="str">
        <f>CONCATENATE("var ",RIGHT(K183,2),"/",RIGHT(K183-1,2))</f>
        <v>var 24/23</v>
      </c>
      <c r="M184" s="144" t="s">
        <v>71</v>
      </c>
      <c r="N184" s="143" t="str">
        <f>CONCATENATE("var ",RIGHT(M183,2),"/",RIGHT(M183-1,2))</f>
        <v>var 25/24</v>
      </c>
    </row>
    <row r="185" spans="1:15" x14ac:dyDescent="0.25">
      <c r="A185" s="151"/>
      <c r="B185" s="145" t="s">
        <v>73</v>
      </c>
      <c r="C185" s="146">
        <v>313</v>
      </c>
      <c r="D185" s="147">
        <v>1.6233766233766156E-2</v>
      </c>
      <c r="E185" s="146">
        <v>175</v>
      </c>
      <c r="F185" s="147">
        <f t="shared" ref="F185:L197" si="17">IFERROR(E185/C185-1,"-")</f>
        <v>-0.4408945686900958</v>
      </c>
      <c r="G185" s="146">
        <v>418</v>
      </c>
      <c r="H185" s="147">
        <f t="shared" si="17"/>
        <v>1.3885714285714288</v>
      </c>
      <c r="I185" s="146">
        <v>363</v>
      </c>
      <c r="J185" s="147">
        <f t="shared" si="17"/>
        <v>-0.13157894736842102</v>
      </c>
      <c r="K185" s="146">
        <v>373</v>
      </c>
      <c r="L185" s="147">
        <f t="shared" si="17"/>
        <v>2.7548209366391241E-2</v>
      </c>
      <c r="M185" s="146">
        <v>326</v>
      </c>
      <c r="N185" s="147">
        <f t="shared" ref="N185:N193" si="18">IFERROR(M185/K185-1,"-")</f>
        <v>-0.12600536193029488</v>
      </c>
    </row>
    <row r="186" spans="1:15" x14ac:dyDescent="0.25">
      <c r="B186" s="145" t="s">
        <v>75</v>
      </c>
      <c r="C186" s="146">
        <v>321</v>
      </c>
      <c r="D186" s="147">
        <v>7.0000000000000062E-2</v>
      </c>
      <c r="E186" s="146">
        <v>18</v>
      </c>
      <c r="F186" s="147">
        <f t="shared" si="17"/>
        <v>-0.94392523364485981</v>
      </c>
      <c r="G186" s="146">
        <v>389</v>
      </c>
      <c r="H186" s="147">
        <f t="shared" si="17"/>
        <v>20.611111111111111</v>
      </c>
      <c r="I186" s="146">
        <v>445</v>
      </c>
      <c r="J186" s="147">
        <f t="shared" si="17"/>
        <v>0.14395886889460163</v>
      </c>
      <c r="K186" s="146">
        <v>462</v>
      </c>
      <c r="L186" s="147">
        <f t="shared" si="17"/>
        <v>3.8202247191011285E-2</v>
      </c>
      <c r="M186" s="146">
        <v>351</v>
      </c>
      <c r="N186" s="147">
        <f t="shared" si="18"/>
        <v>-0.24025974025974028</v>
      </c>
    </row>
    <row r="187" spans="1:15" x14ac:dyDescent="0.25">
      <c r="B187" s="145" t="s">
        <v>77</v>
      </c>
      <c r="C187" s="146">
        <v>227</v>
      </c>
      <c r="D187" s="147">
        <v>-0.38482384823848237</v>
      </c>
      <c r="E187" s="146">
        <v>20</v>
      </c>
      <c r="F187" s="147">
        <f t="shared" si="17"/>
        <v>-0.91189427312775329</v>
      </c>
      <c r="G187" s="146">
        <v>354</v>
      </c>
      <c r="H187" s="147">
        <f t="shared" si="17"/>
        <v>16.7</v>
      </c>
      <c r="I187" s="146">
        <v>318</v>
      </c>
      <c r="J187" s="147">
        <f t="shared" si="17"/>
        <v>-0.10169491525423724</v>
      </c>
      <c r="K187" s="146">
        <v>592</v>
      </c>
      <c r="L187" s="147">
        <f t="shared" si="17"/>
        <v>0.86163522012578619</v>
      </c>
      <c r="M187" s="146">
        <v>381</v>
      </c>
      <c r="N187" s="147">
        <f t="shared" si="18"/>
        <v>-0.35641891891891897</v>
      </c>
    </row>
    <row r="188" spans="1:15" x14ac:dyDescent="0.25">
      <c r="B188" s="145" t="s">
        <v>79</v>
      </c>
      <c r="C188" s="146">
        <v>0</v>
      </c>
      <c r="D188" s="147">
        <v>-1</v>
      </c>
      <c r="E188" s="146">
        <v>33</v>
      </c>
      <c r="F188" s="147" t="str">
        <f t="shared" si="17"/>
        <v>-</v>
      </c>
      <c r="G188" s="146">
        <v>556</v>
      </c>
      <c r="H188" s="147">
        <f t="shared" si="17"/>
        <v>15.848484848484848</v>
      </c>
      <c r="I188" s="146">
        <v>355</v>
      </c>
      <c r="J188" s="147">
        <f t="shared" si="17"/>
        <v>-0.36151079136690645</v>
      </c>
      <c r="K188" s="146">
        <v>404</v>
      </c>
      <c r="L188" s="147">
        <f t="shared" si="17"/>
        <v>0.13802816901408455</v>
      </c>
      <c r="M188" s="146">
        <v>569</v>
      </c>
      <c r="N188" s="147">
        <f t="shared" si="18"/>
        <v>0.40841584158415833</v>
      </c>
    </row>
    <row r="189" spans="1:15" x14ac:dyDescent="0.25">
      <c r="B189" s="145" t="s">
        <v>81</v>
      </c>
      <c r="C189" s="146">
        <v>0</v>
      </c>
      <c r="D189" s="147">
        <v>-1</v>
      </c>
      <c r="E189" s="146">
        <v>120</v>
      </c>
      <c r="F189" s="147" t="str">
        <f t="shared" si="17"/>
        <v>-</v>
      </c>
      <c r="G189" s="146">
        <v>214</v>
      </c>
      <c r="H189" s="147">
        <f t="shared" si="17"/>
        <v>0.78333333333333344</v>
      </c>
      <c r="I189" s="146">
        <v>518</v>
      </c>
      <c r="J189" s="147">
        <f t="shared" si="17"/>
        <v>1.4205607476635516</v>
      </c>
      <c r="K189" s="146">
        <v>597</v>
      </c>
      <c r="L189" s="147">
        <f t="shared" si="17"/>
        <v>0.15250965250965254</v>
      </c>
      <c r="M189" s="146">
        <v>211</v>
      </c>
      <c r="N189" s="147">
        <f t="shared" si="18"/>
        <v>-0.64656616415410384</v>
      </c>
    </row>
    <row r="190" spans="1:15" x14ac:dyDescent="0.25">
      <c r="B190" s="145" t="s">
        <v>122</v>
      </c>
      <c r="C190" s="146">
        <v>0</v>
      </c>
      <c r="D190" s="147">
        <v>-1</v>
      </c>
      <c r="E190" s="146">
        <v>86</v>
      </c>
      <c r="F190" s="147" t="str">
        <f t="shared" si="17"/>
        <v>-</v>
      </c>
      <c r="G190" s="146">
        <v>248</v>
      </c>
      <c r="H190" s="147">
        <f t="shared" si="17"/>
        <v>1.8837209302325579</v>
      </c>
      <c r="I190" s="146">
        <v>365</v>
      </c>
      <c r="J190" s="147">
        <f t="shared" si="17"/>
        <v>0.47177419354838701</v>
      </c>
      <c r="K190" s="146">
        <v>533</v>
      </c>
      <c r="L190" s="147">
        <f t="shared" si="17"/>
        <v>0.46027397260273983</v>
      </c>
      <c r="M190" s="146">
        <v>304</v>
      </c>
      <c r="N190" s="147">
        <f t="shared" si="18"/>
        <v>-0.42964352720450283</v>
      </c>
    </row>
    <row r="191" spans="1:15" x14ac:dyDescent="0.25">
      <c r="B191" s="145" t="s">
        <v>85</v>
      </c>
      <c r="C191" s="146">
        <v>0</v>
      </c>
      <c r="D191" s="147">
        <v>-1</v>
      </c>
      <c r="E191" s="146">
        <v>202</v>
      </c>
      <c r="F191" s="147" t="str">
        <f t="shared" si="17"/>
        <v>-</v>
      </c>
      <c r="G191" s="146">
        <v>528</v>
      </c>
      <c r="H191" s="147">
        <f t="shared" si="17"/>
        <v>1.613861386138614</v>
      </c>
      <c r="I191" s="146">
        <v>693</v>
      </c>
      <c r="J191" s="147">
        <f t="shared" si="17"/>
        <v>0.3125</v>
      </c>
      <c r="K191" s="146">
        <v>628</v>
      </c>
      <c r="L191" s="147">
        <f t="shared" si="17"/>
        <v>-9.3795093795093765E-2</v>
      </c>
      <c r="M191" s="146">
        <v>554</v>
      </c>
      <c r="N191" s="147">
        <f t="shared" si="18"/>
        <v>-0.11783439490445857</v>
      </c>
    </row>
    <row r="192" spans="1:15" x14ac:dyDescent="0.25">
      <c r="B192" s="145" t="s">
        <v>87</v>
      </c>
      <c r="C192" s="146">
        <v>538</v>
      </c>
      <c r="D192" s="147">
        <v>0.41578947368421049</v>
      </c>
      <c r="E192" s="146">
        <v>605</v>
      </c>
      <c r="F192" s="147">
        <f t="shared" si="17"/>
        <v>0.12453531598513012</v>
      </c>
      <c r="G192" s="146">
        <v>262</v>
      </c>
      <c r="H192" s="147">
        <f t="shared" si="17"/>
        <v>-0.56694214876033056</v>
      </c>
      <c r="I192" s="146">
        <v>497</v>
      </c>
      <c r="J192" s="147">
        <f t="shared" si="17"/>
        <v>0.89694656488549618</v>
      </c>
      <c r="K192" s="146">
        <v>486</v>
      </c>
      <c r="L192" s="147">
        <f t="shared" si="17"/>
        <v>-2.2132796780684139E-2</v>
      </c>
      <c r="M192" s="146">
        <v>299</v>
      </c>
      <c r="N192" s="147">
        <f t="shared" si="18"/>
        <v>-0.3847736625514403</v>
      </c>
    </row>
    <row r="193" spans="2:15" x14ac:dyDescent="0.25">
      <c r="B193" s="145" t="s">
        <v>89</v>
      </c>
      <c r="C193" s="146">
        <v>168</v>
      </c>
      <c r="D193" s="147">
        <v>-0.54959785522788196</v>
      </c>
      <c r="E193" s="146">
        <v>500</v>
      </c>
      <c r="F193" s="147">
        <f t="shared" si="17"/>
        <v>1.9761904761904763</v>
      </c>
      <c r="G193" s="146">
        <v>331</v>
      </c>
      <c r="H193" s="147">
        <f t="shared" si="17"/>
        <v>-0.33799999999999997</v>
      </c>
      <c r="I193" s="146">
        <v>339</v>
      </c>
      <c r="J193" s="147">
        <f t="shared" si="17"/>
        <v>2.4169184290030232E-2</v>
      </c>
      <c r="K193" s="146">
        <v>217</v>
      </c>
      <c r="L193" s="147">
        <f t="shared" si="17"/>
        <v>-0.35988200589970498</v>
      </c>
      <c r="M193" s="146">
        <v>205</v>
      </c>
      <c r="N193" s="147">
        <f t="shared" si="18"/>
        <v>-5.5299539170506895E-2</v>
      </c>
    </row>
    <row r="194" spans="2:15" x14ac:dyDescent="0.25">
      <c r="B194" s="145" t="s">
        <v>91</v>
      </c>
      <c r="C194" s="146">
        <v>84</v>
      </c>
      <c r="D194" s="147">
        <v>-0.69117647058823528</v>
      </c>
      <c r="E194" s="146">
        <v>408</v>
      </c>
      <c r="F194" s="147">
        <f t="shared" si="17"/>
        <v>3.8571428571428568</v>
      </c>
      <c r="G194" s="146">
        <v>379</v>
      </c>
      <c r="H194" s="147">
        <f t="shared" si="17"/>
        <v>-7.1078431372548989E-2</v>
      </c>
      <c r="I194" s="146">
        <v>638</v>
      </c>
      <c r="J194" s="147">
        <f t="shared" si="17"/>
        <v>0.68337730870712399</v>
      </c>
      <c r="K194" s="146">
        <v>350</v>
      </c>
      <c r="L194" s="147">
        <f t="shared" si="17"/>
        <v>-0.45141065830721006</v>
      </c>
      <c r="M194" s="146"/>
      <c r="N194" s="147"/>
    </row>
    <row r="195" spans="2:15" x14ac:dyDescent="0.25">
      <c r="B195" s="145" t="s">
        <v>93</v>
      </c>
      <c r="C195" s="146">
        <v>72</v>
      </c>
      <c r="D195" s="147">
        <v>-0.77500000000000002</v>
      </c>
      <c r="E195" s="146">
        <v>628</v>
      </c>
      <c r="F195" s="147">
        <f t="shared" si="17"/>
        <v>7.7222222222222214</v>
      </c>
      <c r="G195" s="146">
        <v>412</v>
      </c>
      <c r="H195" s="147">
        <f t="shared" si="17"/>
        <v>-0.3439490445859873</v>
      </c>
      <c r="I195" s="146">
        <v>437</v>
      </c>
      <c r="J195" s="147">
        <f t="shared" si="17"/>
        <v>6.0679611650485521E-2</v>
      </c>
      <c r="K195" s="146">
        <v>424</v>
      </c>
      <c r="L195" s="147">
        <f t="shared" si="17"/>
        <v>-2.9748283752860427E-2</v>
      </c>
      <c r="M195" s="146"/>
      <c r="N195" s="147"/>
    </row>
    <row r="196" spans="2:15" x14ac:dyDescent="0.25">
      <c r="B196" s="145" t="s">
        <v>95</v>
      </c>
      <c r="C196" s="146">
        <v>126</v>
      </c>
      <c r="D196" s="147">
        <v>-0.70833333333333326</v>
      </c>
      <c r="E196" s="146">
        <v>549</v>
      </c>
      <c r="F196" s="147">
        <f t="shared" si="17"/>
        <v>3.3571428571428568</v>
      </c>
      <c r="G196" s="146">
        <v>478</v>
      </c>
      <c r="H196" s="147">
        <f t="shared" si="17"/>
        <v>-0.12932604735883424</v>
      </c>
      <c r="I196" s="146">
        <v>522</v>
      </c>
      <c r="J196" s="147">
        <f t="shared" si="17"/>
        <v>9.2050209205020828E-2</v>
      </c>
      <c r="K196" s="146">
        <v>497</v>
      </c>
      <c r="L196" s="147">
        <f t="shared" si="17"/>
        <v>-4.789272030651337E-2</v>
      </c>
      <c r="M196" s="146"/>
      <c r="N196" s="147"/>
    </row>
    <row r="197" spans="2:15" ht="15.75" x14ac:dyDescent="0.25">
      <c r="B197" s="148" t="s">
        <v>32</v>
      </c>
      <c r="C197" s="149">
        <v>1935</v>
      </c>
      <c r="D197" s="150">
        <v>-0.5420118343195266</v>
      </c>
      <c r="E197" s="149">
        <v>3344</v>
      </c>
      <c r="F197" s="150">
        <f t="shared" si="17"/>
        <v>0.72816537467700249</v>
      </c>
      <c r="G197" s="149">
        <v>4569</v>
      </c>
      <c r="H197" s="150">
        <f t="shared" si="17"/>
        <v>0.36632775119617222</v>
      </c>
      <c r="I197" s="149">
        <v>5490</v>
      </c>
      <c r="J197" s="150">
        <f t="shared" si="17"/>
        <v>0.20157583716349303</v>
      </c>
      <c r="K197" s="149">
        <v>5563</v>
      </c>
      <c r="L197" s="150">
        <f t="shared" si="17"/>
        <v>1.3296903460837894E-2</v>
      </c>
      <c r="M197" s="149">
        <v>3200</v>
      </c>
      <c r="N197" s="150">
        <v>-0.25442684063373722</v>
      </c>
    </row>
    <row r="198" spans="2:15" ht="6" customHeight="1" x14ac:dyDescent="0.25"/>
    <row r="199" spans="2:15" x14ac:dyDescent="0.25">
      <c r="B199" s="131" t="s">
        <v>57</v>
      </c>
      <c r="C199" s="131"/>
      <c r="D199" s="131"/>
      <c r="E199" s="131"/>
      <c r="F199" s="131"/>
      <c r="G199" s="131"/>
      <c r="H199" s="131"/>
      <c r="I199" s="131"/>
      <c r="J199" s="131"/>
      <c r="K199" s="131"/>
      <c r="L199" s="131"/>
      <c r="M199" s="131"/>
      <c r="N199" s="131"/>
    </row>
    <row r="200" spans="2:15" x14ac:dyDescent="0.25">
      <c r="K200" s="151"/>
    </row>
    <row r="201" spans="2:15" x14ac:dyDescent="0.25">
      <c r="C201" s="103"/>
      <c r="D201" s="103"/>
      <c r="E201" s="103"/>
      <c r="F201" s="103"/>
      <c r="G201" s="103"/>
      <c r="H201" s="103"/>
      <c r="I201" s="103"/>
      <c r="J201" s="103"/>
      <c r="K201" s="103"/>
      <c r="L201" s="103"/>
      <c r="M201" s="103"/>
      <c r="N201" s="103"/>
    </row>
    <row r="202" spans="2:15" ht="48.75" customHeight="1" thickBot="1" x14ac:dyDescent="0.3">
      <c r="B202" s="12" t="s">
        <v>247</v>
      </c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" t="s">
        <v>123</v>
      </c>
    </row>
    <row r="203" spans="2:15" ht="10.5" customHeight="1" thickBot="1" x14ac:dyDescent="0.3">
      <c r="B203" s="132"/>
      <c r="C203" s="133"/>
      <c r="D203" s="132"/>
      <c r="E203" s="132"/>
      <c r="F203" s="132"/>
      <c r="G203" s="132"/>
      <c r="H203" s="132"/>
      <c r="I203" s="132"/>
      <c r="J203" s="132"/>
      <c r="K203" s="132"/>
      <c r="L203" s="132"/>
      <c r="M203" s="4"/>
      <c r="N203" s="4"/>
      <c r="O203" s="1" t="s">
        <v>124</v>
      </c>
    </row>
    <row r="204" spans="2:15" ht="22.5" thickTop="1" thickBot="1" x14ac:dyDescent="0.3">
      <c r="B204" s="152" t="str">
        <f>C204</f>
        <v>Países Bajos</v>
      </c>
      <c r="C204" s="135" t="s">
        <v>125</v>
      </c>
      <c r="D204" s="136"/>
      <c r="E204" s="136"/>
      <c r="F204" s="136"/>
      <c r="G204" s="136"/>
      <c r="H204" s="136"/>
      <c r="I204" s="136"/>
      <c r="J204" s="136"/>
      <c r="K204" s="136"/>
      <c r="L204" s="136"/>
      <c r="M204" s="136"/>
      <c r="N204" s="136"/>
    </row>
    <row r="205" spans="2:15" ht="22.5" thickTop="1" thickBot="1" x14ac:dyDescent="0.3">
      <c r="B205" s="137"/>
      <c r="C205" s="138">
        <f>C$7</f>
        <v>2020</v>
      </c>
      <c r="D205" s="139"/>
      <c r="E205" s="138">
        <f>E$7</f>
        <v>2021</v>
      </c>
      <c r="F205" s="139"/>
      <c r="G205" s="138">
        <f>G$7</f>
        <v>2022</v>
      </c>
      <c r="H205" s="139"/>
      <c r="I205" s="138">
        <f>I$7</f>
        <v>2023</v>
      </c>
      <c r="J205" s="139"/>
      <c r="K205" s="138">
        <f>K$7</f>
        <v>2024</v>
      </c>
      <c r="L205" s="139"/>
      <c r="M205" s="138">
        <f>M$7</f>
        <v>2025</v>
      </c>
      <c r="N205" s="139"/>
    </row>
    <row r="206" spans="2:15" ht="16.5" thickTop="1" thickBot="1" x14ac:dyDescent="0.3">
      <c r="B206" s="109"/>
      <c r="C206" s="142" t="s">
        <v>71</v>
      </c>
      <c r="D206" s="143" t="str">
        <f>CONCATENATE("var ",RIGHT(C205,2),"/",RIGHT(C205-1,2))</f>
        <v>var 20/19</v>
      </c>
      <c r="E206" s="144" t="s">
        <v>71</v>
      </c>
      <c r="F206" s="143" t="str">
        <f>CONCATENATE("var ",RIGHT(E205,2),"/",RIGHT(E205-1,2))</f>
        <v>var 21/20</v>
      </c>
      <c r="G206" s="144" t="s">
        <v>71</v>
      </c>
      <c r="H206" s="143" t="str">
        <f>CONCATENATE("var ",RIGHT(G205,2),"/",RIGHT(G205-1,2))</f>
        <v>var 22/21</v>
      </c>
      <c r="I206" s="144" t="s">
        <v>71</v>
      </c>
      <c r="J206" s="143" t="str">
        <f>CONCATENATE("var ",RIGHT(I205,2),"/",RIGHT(I205-1,2))</f>
        <v>var 23/22</v>
      </c>
      <c r="K206" s="144" t="s">
        <v>71</v>
      </c>
      <c r="L206" s="143" t="str">
        <f>CONCATENATE("var ",RIGHT(K205,2),"/",RIGHT(K205-1,2))</f>
        <v>var 24/23</v>
      </c>
      <c r="M206" s="144" t="s">
        <v>71</v>
      </c>
      <c r="N206" s="143" t="str">
        <f>CONCATENATE("var ",RIGHT(M205,2),"/",RIGHT(M205-1,2))</f>
        <v>var 25/24</v>
      </c>
    </row>
    <row r="207" spans="2:15" x14ac:dyDescent="0.25">
      <c r="B207" s="145" t="s">
        <v>73</v>
      </c>
      <c r="C207" s="146">
        <v>349</v>
      </c>
      <c r="D207" s="147">
        <v>0.26909090909090905</v>
      </c>
      <c r="E207" s="146">
        <v>32</v>
      </c>
      <c r="F207" s="147">
        <f t="shared" ref="F207:L219" si="19">IFERROR(E207/C207-1,"-")</f>
        <v>-0.90830945558739251</v>
      </c>
      <c r="G207" s="146">
        <v>928</v>
      </c>
      <c r="H207" s="147">
        <f t="shared" si="19"/>
        <v>28</v>
      </c>
      <c r="I207" s="146">
        <v>676</v>
      </c>
      <c r="J207" s="147">
        <f t="shared" si="19"/>
        <v>-0.27155172413793105</v>
      </c>
      <c r="K207" s="146">
        <v>554</v>
      </c>
      <c r="L207" s="147">
        <f t="shared" si="19"/>
        <v>-0.18047337278106512</v>
      </c>
      <c r="M207" s="146">
        <v>512</v>
      </c>
      <c r="N207" s="147">
        <f t="shared" ref="N207:N215" si="20">IFERROR(M207/K207-1,"-")</f>
        <v>-7.5812274368231014E-2</v>
      </c>
    </row>
    <row r="208" spans="2:15" x14ac:dyDescent="0.25">
      <c r="B208" s="145" t="s">
        <v>75</v>
      </c>
      <c r="C208" s="146">
        <v>262</v>
      </c>
      <c r="D208" s="147">
        <v>-0.17610062893081757</v>
      </c>
      <c r="E208" s="146">
        <v>43</v>
      </c>
      <c r="F208" s="147">
        <f t="shared" si="19"/>
        <v>-0.83587786259541985</v>
      </c>
      <c r="G208" s="146">
        <v>770</v>
      </c>
      <c r="H208" s="147">
        <f t="shared" si="19"/>
        <v>16.906976744186046</v>
      </c>
      <c r="I208" s="146">
        <v>751</v>
      </c>
      <c r="J208" s="147">
        <f t="shared" si="19"/>
        <v>-2.4675324675324628E-2</v>
      </c>
      <c r="K208" s="146">
        <v>669</v>
      </c>
      <c r="L208" s="147">
        <f t="shared" si="19"/>
        <v>-0.10918774966711053</v>
      </c>
      <c r="M208" s="146">
        <v>678</v>
      </c>
      <c r="N208" s="147">
        <f t="shared" si="20"/>
        <v>1.3452914798206317E-2</v>
      </c>
    </row>
    <row r="209" spans="2:15" x14ac:dyDescent="0.25">
      <c r="B209" s="145" t="s">
        <v>77</v>
      </c>
      <c r="C209" s="146">
        <v>154</v>
      </c>
      <c r="D209" s="147">
        <v>-0.55619596541786742</v>
      </c>
      <c r="E209" s="146">
        <v>18</v>
      </c>
      <c r="F209" s="147">
        <f t="shared" si="19"/>
        <v>-0.88311688311688308</v>
      </c>
      <c r="G209" s="146">
        <v>561</v>
      </c>
      <c r="H209" s="147">
        <f t="shared" si="19"/>
        <v>30.166666666666668</v>
      </c>
      <c r="I209" s="146">
        <v>636</v>
      </c>
      <c r="J209" s="147">
        <f t="shared" si="19"/>
        <v>0.1336898395721926</v>
      </c>
      <c r="K209" s="146">
        <v>493</v>
      </c>
      <c r="L209" s="147">
        <f t="shared" si="19"/>
        <v>-0.22484276729559749</v>
      </c>
      <c r="M209" s="146">
        <v>547</v>
      </c>
      <c r="N209" s="147">
        <f t="shared" si="20"/>
        <v>0.1095334685598377</v>
      </c>
    </row>
    <row r="210" spans="2:15" x14ac:dyDescent="0.25">
      <c r="B210" s="145" t="s">
        <v>79</v>
      </c>
      <c r="C210" s="146">
        <v>0</v>
      </c>
      <c r="D210" s="147">
        <v>-1</v>
      </c>
      <c r="E210" s="146">
        <v>25</v>
      </c>
      <c r="F210" s="147" t="str">
        <f t="shared" si="19"/>
        <v>-</v>
      </c>
      <c r="G210" s="146">
        <v>1074</v>
      </c>
      <c r="H210" s="147">
        <f t="shared" si="19"/>
        <v>41.96</v>
      </c>
      <c r="I210" s="146">
        <v>1013</v>
      </c>
      <c r="J210" s="147">
        <f t="shared" si="19"/>
        <v>-5.6797020484171346E-2</v>
      </c>
      <c r="K210" s="146">
        <v>570</v>
      </c>
      <c r="L210" s="147">
        <f t="shared" si="19"/>
        <v>-0.43731490621915103</v>
      </c>
      <c r="M210" s="146">
        <v>590</v>
      </c>
      <c r="N210" s="147">
        <f t="shared" si="20"/>
        <v>3.5087719298245723E-2</v>
      </c>
    </row>
    <row r="211" spans="2:15" x14ac:dyDescent="0.25">
      <c r="B211" s="145" t="s">
        <v>81</v>
      </c>
      <c r="C211" s="146">
        <v>0</v>
      </c>
      <c r="D211" s="147">
        <v>-1</v>
      </c>
      <c r="E211" s="146">
        <v>38</v>
      </c>
      <c r="F211" s="147" t="str">
        <f t="shared" si="19"/>
        <v>-</v>
      </c>
      <c r="G211" s="146">
        <v>827</v>
      </c>
      <c r="H211" s="147">
        <f t="shared" si="19"/>
        <v>20.763157894736842</v>
      </c>
      <c r="I211" s="146">
        <v>516</v>
      </c>
      <c r="J211" s="147">
        <f t="shared" si="19"/>
        <v>-0.37605804111245467</v>
      </c>
      <c r="K211" s="146">
        <v>527</v>
      </c>
      <c r="L211" s="147">
        <f t="shared" si="19"/>
        <v>2.1317829457364379E-2</v>
      </c>
      <c r="M211" s="146">
        <v>280</v>
      </c>
      <c r="N211" s="147">
        <f t="shared" si="20"/>
        <v>-0.46869070208728658</v>
      </c>
    </row>
    <row r="212" spans="2:15" x14ac:dyDescent="0.25">
      <c r="B212" s="145" t="s">
        <v>83</v>
      </c>
      <c r="C212" s="146">
        <v>0</v>
      </c>
      <c r="D212" s="147">
        <v>-1</v>
      </c>
      <c r="E212" s="146">
        <v>48</v>
      </c>
      <c r="F212" s="147" t="str">
        <f t="shared" si="19"/>
        <v>-</v>
      </c>
      <c r="G212" s="146">
        <v>664</v>
      </c>
      <c r="H212" s="147">
        <f t="shared" si="19"/>
        <v>12.833333333333334</v>
      </c>
      <c r="I212" s="146">
        <v>493</v>
      </c>
      <c r="J212" s="147">
        <f t="shared" si="19"/>
        <v>-0.25753012048192769</v>
      </c>
      <c r="K212" s="146">
        <v>432</v>
      </c>
      <c r="L212" s="147">
        <f t="shared" si="19"/>
        <v>-0.12373225152129819</v>
      </c>
      <c r="M212" s="146">
        <v>397</v>
      </c>
      <c r="N212" s="147">
        <f t="shared" si="20"/>
        <v>-8.101851851851849E-2</v>
      </c>
    </row>
    <row r="213" spans="2:15" x14ac:dyDescent="0.25">
      <c r="B213" s="145" t="s">
        <v>85</v>
      </c>
      <c r="C213" s="146">
        <v>0</v>
      </c>
      <c r="D213" s="147">
        <v>-1</v>
      </c>
      <c r="E213" s="146">
        <v>160</v>
      </c>
      <c r="F213" s="147" t="str">
        <f t="shared" si="19"/>
        <v>-</v>
      </c>
      <c r="G213" s="146">
        <v>1141</v>
      </c>
      <c r="H213" s="147">
        <f t="shared" si="19"/>
        <v>6.1312499999999996</v>
      </c>
      <c r="I213" s="146">
        <v>865</v>
      </c>
      <c r="J213" s="147">
        <f t="shared" si="19"/>
        <v>-0.24189307624890444</v>
      </c>
      <c r="K213" s="146">
        <v>531</v>
      </c>
      <c r="L213" s="147">
        <f t="shared" si="19"/>
        <v>-0.38612716763005783</v>
      </c>
      <c r="M213" s="146">
        <v>569</v>
      </c>
      <c r="N213" s="147">
        <f t="shared" si="20"/>
        <v>7.1563088512241135E-2</v>
      </c>
    </row>
    <row r="214" spans="2:15" x14ac:dyDescent="0.25">
      <c r="B214" s="145" t="s">
        <v>87</v>
      </c>
      <c r="C214" s="146">
        <v>169</v>
      </c>
      <c r="D214" s="147">
        <v>-0.48318042813455653</v>
      </c>
      <c r="E214" s="146">
        <v>167</v>
      </c>
      <c r="F214" s="147">
        <f t="shared" si="19"/>
        <v>-1.1834319526627168E-2</v>
      </c>
      <c r="G214" s="146">
        <v>1213</v>
      </c>
      <c r="H214" s="147">
        <f t="shared" si="19"/>
        <v>6.2634730538922154</v>
      </c>
      <c r="I214" s="146">
        <v>1041</v>
      </c>
      <c r="J214" s="147">
        <f t="shared" si="19"/>
        <v>-0.14179719703215166</v>
      </c>
      <c r="K214" s="146">
        <v>508</v>
      </c>
      <c r="L214" s="147">
        <f t="shared" si="19"/>
        <v>-0.51200768491834769</v>
      </c>
      <c r="M214" s="146">
        <v>378</v>
      </c>
      <c r="N214" s="147">
        <f t="shared" si="20"/>
        <v>-0.25590551181102361</v>
      </c>
    </row>
    <row r="215" spans="2:15" x14ac:dyDescent="0.25">
      <c r="B215" s="145" t="s">
        <v>89</v>
      </c>
      <c r="C215" s="146">
        <v>2</v>
      </c>
      <c r="D215" s="147">
        <v>-0.99416909620991256</v>
      </c>
      <c r="E215" s="146">
        <v>686</v>
      </c>
      <c r="F215" s="147">
        <f t="shared" si="19"/>
        <v>342</v>
      </c>
      <c r="G215" s="146">
        <v>808</v>
      </c>
      <c r="H215" s="147">
        <f t="shared" si="19"/>
        <v>0.17784256559766765</v>
      </c>
      <c r="I215" s="146">
        <v>805</v>
      </c>
      <c r="J215" s="147">
        <f t="shared" si="19"/>
        <v>-3.7128712871287162E-3</v>
      </c>
      <c r="K215" s="146">
        <v>446</v>
      </c>
      <c r="L215" s="147">
        <f t="shared" si="19"/>
        <v>-0.4459627329192547</v>
      </c>
      <c r="M215" s="146">
        <v>459</v>
      </c>
      <c r="N215" s="147">
        <f t="shared" si="20"/>
        <v>2.9147982062780242E-2</v>
      </c>
    </row>
    <row r="216" spans="2:15" x14ac:dyDescent="0.25">
      <c r="B216" s="145" t="s">
        <v>91</v>
      </c>
      <c r="C216" s="146">
        <v>19</v>
      </c>
      <c r="D216" s="147">
        <v>-0.93890675241157551</v>
      </c>
      <c r="E216" s="146">
        <v>1264</v>
      </c>
      <c r="F216" s="147">
        <f t="shared" si="19"/>
        <v>65.526315789473685</v>
      </c>
      <c r="G216" s="146">
        <v>709</v>
      </c>
      <c r="H216" s="147">
        <f t="shared" si="19"/>
        <v>-0.43908227848101267</v>
      </c>
      <c r="I216" s="146">
        <v>743</v>
      </c>
      <c r="J216" s="147">
        <f t="shared" si="19"/>
        <v>4.7954866008462549E-2</v>
      </c>
      <c r="K216" s="146">
        <v>702</v>
      </c>
      <c r="L216" s="147">
        <f t="shared" si="19"/>
        <v>-5.5181695827725474E-2</v>
      </c>
      <c r="M216" s="146"/>
      <c r="N216" s="147"/>
    </row>
    <row r="217" spans="2:15" x14ac:dyDescent="0.25">
      <c r="B217" s="145" t="s">
        <v>93</v>
      </c>
      <c r="C217" s="146">
        <v>114</v>
      </c>
      <c r="D217" s="147">
        <v>-0.65243902439024393</v>
      </c>
      <c r="E217" s="146">
        <v>1006</v>
      </c>
      <c r="F217" s="147">
        <f t="shared" si="19"/>
        <v>7.8245614035087723</v>
      </c>
      <c r="G217" s="146">
        <v>646</v>
      </c>
      <c r="H217" s="147">
        <f t="shared" si="19"/>
        <v>-0.35785288270377735</v>
      </c>
      <c r="I217" s="146">
        <v>719</v>
      </c>
      <c r="J217" s="147">
        <f t="shared" si="19"/>
        <v>0.11300309597523217</v>
      </c>
      <c r="K217" s="146">
        <v>613</v>
      </c>
      <c r="L217" s="147">
        <f t="shared" si="19"/>
        <v>-0.14742698191933246</v>
      </c>
      <c r="M217" s="146"/>
      <c r="N217" s="147"/>
    </row>
    <row r="218" spans="2:15" x14ac:dyDescent="0.25">
      <c r="B218" s="145" t="s">
        <v>95</v>
      </c>
      <c r="C218" s="146">
        <v>81</v>
      </c>
      <c r="D218" s="147">
        <v>-0.75304878048780488</v>
      </c>
      <c r="E218" s="146">
        <v>879</v>
      </c>
      <c r="F218" s="147">
        <f t="shared" si="19"/>
        <v>9.8518518518518512</v>
      </c>
      <c r="G218" s="146">
        <v>624</v>
      </c>
      <c r="H218" s="147">
        <f t="shared" si="19"/>
        <v>-0.29010238907849828</v>
      </c>
      <c r="I218" s="146">
        <v>620</v>
      </c>
      <c r="J218" s="147">
        <f t="shared" si="19"/>
        <v>-6.4102564102563875E-3</v>
      </c>
      <c r="K218" s="146">
        <v>489</v>
      </c>
      <c r="L218" s="147">
        <f t="shared" si="19"/>
        <v>-0.21129032258064517</v>
      </c>
      <c r="M218" s="146"/>
      <c r="N218" s="147"/>
    </row>
    <row r="219" spans="2:15" ht="15.75" x14ac:dyDescent="0.25">
      <c r="B219" s="148" t="s">
        <v>32</v>
      </c>
      <c r="C219" s="149">
        <v>1273</v>
      </c>
      <c r="D219" s="150">
        <v>-0.67812895069532231</v>
      </c>
      <c r="E219" s="149">
        <v>4366</v>
      </c>
      <c r="F219" s="150">
        <f t="shared" si="19"/>
        <v>2.4296936370777691</v>
      </c>
      <c r="G219" s="149">
        <v>9965</v>
      </c>
      <c r="H219" s="150">
        <f t="shared" si="19"/>
        <v>1.2824095281722401</v>
      </c>
      <c r="I219" s="149">
        <v>8878</v>
      </c>
      <c r="J219" s="150">
        <f t="shared" si="19"/>
        <v>-0.10908178625188159</v>
      </c>
      <c r="K219" s="149">
        <v>6534</v>
      </c>
      <c r="L219" s="150">
        <f t="shared" si="19"/>
        <v>-0.26402342870015771</v>
      </c>
      <c r="M219" s="149">
        <v>4410</v>
      </c>
      <c r="N219" s="150">
        <v>-6.7653276955602526E-2</v>
      </c>
    </row>
    <row r="220" spans="2:15" ht="6" customHeight="1" x14ac:dyDescent="0.25"/>
    <row r="221" spans="2:15" x14ac:dyDescent="0.25">
      <c r="B221" s="131" t="s">
        <v>57</v>
      </c>
      <c r="C221" s="131"/>
      <c r="D221" s="131"/>
      <c r="E221" s="131"/>
      <c r="F221" s="131"/>
      <c r="G221" s="131"/>
      <c r="H221" s="131"/>
      <c r="I221" s="131"/>
      <c r="J221" s="131"/>
      <c r="K221" s="131"/>
      <c r="L221" s="131"/>
      <c r="M221" s="131"/>
      <c r="N221" s="131"/>
    </row>
    <row r="222" spans="2:15" x14ac:dyDescent="0.25">
      <c r="K222" s="151"/>
      <c r="M222" s="153"/>
    </row>
    <row r="224" spans="2:15" ht="48.75" customHeight="1" thickBot="1" x14ac:dyDescent="0.3">
      <c r="B224" s="12" t="s">
        <v>246</v>
      </c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" t="s">
        <v>126</v>
      </c>
    </row>
    <row r="225" spans="2:15" ht="10.5" customHeight="1" thickBot="1" x14ac:dyDescent="0.3">
      <c r="B225" s="132"/>
      <c r="C225" s="133"/>
      <c r="D225" s="132"/>
      <c r="E225" s="132"/>
      <c r="F225" s="132"/>
      <c r="G225" s="132"/>
      <c r="H225" s="132"/>
      <c r="I225" s="132"/>
      <c r="J225" s="132"/>
      <c r="K225" s="132"/>
      <c r="L225" s="132"/>
      <c r="M225" s="4"/>
      <c r="N225" s="4"/>
      <c r="O225" s="1" t="s">
        <v>127</v>
      </c>
    </row>
    <row r="226" spans="2:15" ht="22.5" thickTop="1" thickBot="1" x14ac:dyDescent="0.3">
      <c r="B226" s="152" t="str">
        <f>C226</f>
        <v>Bélgica</v>
      </c>
      <c r="C226" s="135" t="s">
        <v>121</v>
      </c>
      <c r="D226" s="136"/>
      <c r="E226" s="136"/>
      <c r="F226" s="136"/>
      <c r="G226" s="136"/>
      <c r="H226" s="136"/>
      <c r="I226" s="136"/>
      <c r="J226" s="136"/>
      <c r="K226" s="136"/>
      <c r="L226" s="136"/>
      <c r="M226" s="136"/>
      <c r="N226" s="136"/>
    </row>
    <row r="227" spans="2:15" ht="22.5" thickTop="1" thickBot="1" x14ac:dyDescent="0.3">
      <c r="B227" s="137"/>
      <c r="C227" s="138">
        <f>C$7</f>
        <v>2020</v>
      </c>
      <c r="D227" s="139"/>
      <c r="E227" s="138">
        <f>E$7</f>
        <v>2021</v>
      </c>
      <c r="F227" s="139"/>
      <c r="G227" s="138">
        <f>G$7</f>
        <v>2022</v>
      </c>
      <c r="H227" s="139"/>
      <c r="I227" s="138">
        <f>I$7</f>
        <v>2023</v>
      </c>
      <c r="J227" s="139"/>
      <c r="K227" s="138">
        <f>K$7</f>
        <v>2024</v>
      </c>
      <c r="L227" s="139"/>
      <c r="M227" s="138">
        <f>M$7</f>
        <v>2025</v>
      </c>
      <c r="N227" s="139"/>
    </row>
    <row r="228" spans="2:15" ht="16.5" thickTop="1" thickBot="1" x14ac:dyDescent="0.3">
      <c r="B228" s="109"/>
      <c r="C228" s="142" t="s">
        <v>71</v>
      </c>
      <c r="D228" s="143" t="str">
        <f>CONCATENATE("var ",RIGHT(C227,2),"/",RIGHT(C227-1,2))</f>
        <v>var 20/19</v>
      </c>
      <c r="E228" s="144" t="s">
        <v>71</v>
      </c>
      <c r="F228" s="143" t="str">
        <f>CONCATENATE("var ",RIGHT(E227,2),"/",RIGHT(E227-1,2))</f>
        <v>var 21/20</v>
      </c>
      <c r="G228" s="144" t="s">
        <v>71</v>
      </c>
      <c r="H228" s="143" t="str">
        <f>CONCATENATE("var ",RIGHT(G227,2),"/",RIGHT(G227-1,2))</f>
        <v>var 22/21</v>
      </c>
      <c r="I228" s="144" t="s">
        <v>71</v>
      </c>
      <c r="J228" s="143" t="str">
        <f>CONCATENATE("var ",RIGHT(I227,2),"/",RIGHT(I227-1,2))</f>
        <v>var 23/22</v>
      </c>
      <c r="K228" s="144" t="s">
        <v>71</v>
      </c>
      <c r="L228" s="143" t="str">
        <f>CONCATENATE("var ",RIGHT(K227,2),"/",RIGHT(K227-1,2))</f>
        <v>var 24/23</v>
      </c>
      <c r="M228" s="144" t="s">
        <v>71</v>
      </c>
      <c r="N228" s="143" t="str">
        <f>CONCATENATE("var ",RIGHT(M227,2),"/",RIGHT(M227-1,2))</f>
        <v>var 25/24</v>
      </c>
    </row>
    <row r="229" spans="2:15" x14ac:dyDescent="0.25">
      <c r="B229" s="145" t="s">
        <v>73</v>
      </c>
      <c r="C229" s="146">
        <v>313</v>
      </c>
      <c r="D229" s="147">
        <v>1.6233766233766156E-2</v>
      </c>
      <c r="E229" s="146">
        <v>175</v>
      </c>
      <c r="F229" s="147">
        <f t="shared" ref="F229:L241" si="21">IFERROR(E229/C229-1,"-")</f>
        <v>-0.4408945686900958</v>
      </c>
      <c r="G229" s="146">
        <v>418</v>
      </c>
      <c r="H229" s="147">
        <f t="shared" si="21"/>
        <v>1.3885714285714288</v>
      </c>
      <c r="I229" s="146">
        <v>363</v>
      </c>
      <c r="J229" s="147">
        <f t="shared" si="21"/>
        <v>-0.13157894736842102</v>
      </c>
      <c r="K229" s="146">
        <v>373</v>
      </c>
      <c r="L229" s="147">
        <f t="shared" si="21"/>
        <v>2.7548209366391241E-2</v>
      </c>
      <c r="M229" s="146">
        <v>326</v>
      </c>
      <c r="N229" s="147">
        <f t="shared" ref="N229:N237" si="22">IFERROR(M229/K229-1,"-")</f>
        <v>-0.12600536193029488</v>
      </c>
    </row>
    <row r="230" spans="2:15" x14ac:dyDescent="0.25">
      <c r="B230" s="145" t="s">
        <v>75</v>
      </c>
      <c r="C230" s="146">
        <v>321</v>
      </c>
      <c r="D230" s="147">
        <v>7.0000000000000062E-2</v>
      </c>
      <c r="E230" s="146">
        <v>18</v>
      </c>
      <c r="F230" s="147">
        <f t="shared" si="21"/>
        <v>-0.94392523364485981</v>
      </c>
      <c r="G230" s="146">
        <v>389</v>
      </c>
      <c r="H230" s="147">
        <f t="shared" si="21"/>
        <v>20.611111111111111</v>
      </c>
      <c r="I230" s="146">
        <v>445</v>
      </c>
      <c r="J230" s="147">
        <f t="shared" si="21"/>
        <v>0.14395886889460163</v>
      </c>
      <c r="K230" s="146">
        <v>462</v>
      </c>
      <c r="L230" s="147">
        <f t="shared" si="21"/>
        <v>3.8202247191011285E-2</v>
      </c>
      <c r="M230" s="146">
        <v>351</v>
      </c>
      <c r="N230" s="147">
        <f t="shared" si="22"/>
        <v>-0.24025974025974028</v>
      </c>
    </row>
    <row r="231" spans="2:15" x14ac:dyDescent="0.25">
      <c r="B231" s="145" t="s">
        <v>77</v>
      </c>
      <c r="C231" s="146">
        <v>227</v>
      </c>
      <c r="D231" s="147">
        <v>-0.38482384823848237</v>
      </c>
      <c r="E231" s="146">
        <v>20</v>
      </c>
      <c r="F231" s="147">
        <f t="shared" si="21"/>
        <v>-0.91189427312775329</v>
      </c>
      <c r="G231" s="146">
        <v>354</v>
      </c>
      <c r="H231" s="147">
        <f t="shared" si="21"/>
        <v>16.7</v>
      </c>
      <c r="I231" s="146">
        <v>318</v>
      </c>
      <c r="J231" s="147">
        <f t="shared" si="21"/>
        <v>-0.10169491525423724</v>
      </c>
      <c r="K231" s="146">
        <v>592</v>
      </c>
      <c r="L231" s="147">
        <f t="shared" si="21"/>
        <v>0.86163522012578619</v>
      </c>
      <c r="M231" s="146">
        <v>381</v>
      </c>
      <c r="N231" s="147">
        <f t="shared" si="22"/>
        <v>-0.35641891891891897</v>
      </c>
    </row>
    <row r="232" spans="2:15" x14ac:dyDescent="0.25">
      <c r="B232" s="145" t="s">
        <v>79</v>
      </c>
      <c r="C232" s="146">
        <v>0</v>
      </c>
      <c r="D232" s="147">
        <v>-1</v>
      </c>
      <c r="E232" s="146">
        <v>33</v>
      </c>
      <c r="F232" s="147" t="str">
        <f t="shared" si="21"/>
        <v>-</v>
      </c>
      <c r="G232" s="146">
        <v>556</v>
      </c>
      <c r="H232" s="147">
        <f t="shared" si="21"/>
        <v>15.848484848484848</v>
      </c>
      <c r="I232" s="146">
        <v>355</v>
      </c>
      <c r="J232" s="147">
        <f t="shared" si="21"/>
        <v>-0.36151079136690645</v>
      </c>
      <c r="K232" s="146">
        <v>404</v>
      </c>
      <c r="L232" s="147">
        <f t="shared" si="21"/>
        <v>0.13802816901408455</v>
      </c>
      <c r="M232" s="146">
        <v>569</v>
      </c>
      <c r="N232" s="147">
        <f t="shared" si="22"/>
        <v>0.40841584158415833</v>
      </c>
    </row>
    <row r="233" spans="2:15" x14ac:dyDescent="0.25">
      <c r="B233" s="145" t="s">
        <v>81</v>
      </c>
      <c r="C233" s="146">
        <v>0</v>
      </c>
      <c r="D233" s="147">
        <v>-1</v>
      </c>
      <c r="E233" s="146">
        <v>120</v>
      </c>
      <c r="F233" s="147" t="str">
        <f t="shared" si="21"/>
        <v>-</v>
      </c>
      <c r="G233" s="146">
        <v>214</v>
      </c>
      <c r="H233" s="147">
        <f t="shared" si="21"/>
        <v>0.78333333333333344</v>
      </c>
      <c r="I233" s="146">
        <v>518</v>
      </c>
      <c r="J233" s="147">
        <f t="shared" si="21"/>
        <v>1.4205607476635516</v>
      </c>
      <c r="K233" s="146">
        <v>597</v>
      </c>
      <c r="L233" s="147">
        <f t="shared" si="21"/>
        <v>0.15250965250965254</v>
      </c>
      <c r="M233" s="146">
        <v>211</v>
      </c>
      <c r="N233" s="147">
        <f t="shared" si="22"/>
        <v>-0.64656616415410384</v>
      </c>
    </row>
    <row r="234" spans="2:15" x14ac:dyDescent="0.25">
      <c r="B234" s="145" t="s">
        <v>83</v>
      </c>
      <c r="C234" s="146">
        <v>0</v>
      </c>
      <c r="D234" s="147">
        <v>-1</v>
      </c>
      <c r="E234" s="146">
        <v>86</v>
      </c>
      <c r="F234" s="147" t="str">
        <f t="shared" si="21"/>
        <v>-</v>
      </c>
      <c r="G234" s="146">
        <v>248</v>
      </c>
      <c r="H234" s="147">
        <f t="shared" si="21"/>
        <v>1.8837209302325579</v>
      </c>
      <c r="I234" s="146">
        <v>365</v>
      </c>
      <c r="J234" s="147">
        <f t="shared" si="21"/>
        <v>0.47177419354838701</v>
      </c>
      <c r="K234" s="146">
        <v>533</v>
      </c>
      <c r="L234" s="147">
        <f t="shared" si="21"/>
        <v>0.46027397260273983</v>
      </c>
      <c r="M234" s="146">
        <v>304</v>
      </c>
      <c r="N234" s="147">
        <f t="shared" si="22"/>
        <v>-0.42964352720450283</v>
      </c>
    </row>
    <row r="235" spans="2:15" x14ac:dyDescent="0.25">
      <c r="B235" s="145" t="s">
        <v>85</v>
      </c>
      <c r="C235" s="146">
        <v>0</v>
      </c>
      <c r="D235" s="147">
        <v>-1</v>
      </c>
      <c r="E235" s="146">
        <v>202</v>
      </c>
      <c r="F235" s="147" t="str">
        <f t="shared" si="21"/>
        <v>-</v>
      </c>
      <c r="G235" s="146">
        <v>528</v>
      </c>
      <c r="H235" s="147">
        <f t="shared" si="21"/>
        <v>1.613861386138614</v>
      </c>
      <c r="I235" s="146">
        <v>693</v>
      </c>
      <c r="J235" s="147">
        <f t="shared" si="21"/>
        <v>0.3125</v>
      </c>
      <c r="K235" s="146">
        <v>628</v>
      </c>
      <c r="L235" s="147">
        <f t="shared" si="21"/>
        <v>-9.3795093795093765E-2</v>
      </c>
      <c r="M235" s="146">
        <v>554</v>
      </c>
      <c r="N235" s="147">
        <f t="shared" si="22"/>
        <v>-0.11783439490445857</v>
      </c>
    </row>
    <row r="236" spans="2:15" x14ac:dyDescent="0.25">
      <c r="B236" s="145" t="s">
        <v>87</v>
      </c>
      <c r="C236" s="146">
        <v>538</v>
      </c>
      <c r="D236" s="147">
        <v>0.41578947368421049</v>
      </c>
      <c r="E236" s="146">
        <v>605</v>
      </c>
      <c r="F236" s="147">
        <f t="shared" si="21"/>
        <v>0.12453531598513012</v>
      </c>
      <c r="G236" s="146">
        <v>262</v>
      </c>
      <c r="H236" s="147">
        <f t="shared" si="21"/>
        <v>-0.56694214876033056</v>
      </c>
      <c r="I236" s="146">
        <v>497</v>
      </c>
      <c r="J236" s="147">
        <f t="shared" si="21"/>
        <v>0.89694656488549618</v>
      </c>
      <c r="K236" s="146">
        <v>486</v>
      </c>
      <c r="L236" s="147">
        <f t="shared" si="21"/>
        <v>-2.2132796780684139E-2</v>
      </c>
      <c r="M236" s="146">
        <v>299</v>
      </c>
      <c r="N236" s="147">
        <f t="shared" si="22"/>
        <v>-0.3847736625514403</v>
      </c>
    </row>
    <row r="237" spans="2:15" x14ac:dyDescent="0.25">
      <c r="B237" s="145" t="s">
        <v>89</v>
      </c>
      <c r="C237" s="146">
        <v>168</v>
      </c>
      <c r="D237" s="147">
        <v>-0.54959785522788196</v>
      </c>
      <c r="E237" s="146">
        <v>500</v>
      </c>
      <c r="F237" s="147">
        <f t="shared" si="21"/>
        <v>1.9761904761904763</v>
      </c>
      <c r="G237" s="146">
        <v>331</v>
      </c>
      <c r="H237" s="147">
        <f t="shared" si="21"/>
        <v>-0.33799999999999997</v>
      </c>
      <c r="I237" s="146">
        <v>339</v>
      </c>
      <c r="J237" s="147">
        <f t="shared" si="21"/>
        <v>2.4169184290030232E-2</v>
      </c>
      <c r="K237" s="146">
        <v>217</v>
      </c>
      <c r="L237" s="147">
        <f t="shared" si="21"/>
        <v>-0.35988200589970498</v>
      </c>
      <c r="M237" s="146">
        <v>205</v>
      </c>
      <c r="N237" s="147">
        <f t="shared" si="22"/>
        <v>-5.5299539170506895E-2</v>
      </c>
    </row>
    <row r="238" spans="2:15" x14ac:dyDescent="0.25">
      <c r="B238" s="145" t="s">
        <v>91</v>
      </c>
      <c r="C238" s="146">
        <v>84</v>
      </c>
      <c r="D238" s="147">
        <v>-0.69117647058823528</v>
      </c>
      <c r="E238" s="146">
        <v>408</v>
      </c>
      <c r="F238" s="147">
        <f t="shared" si="21"/>
        <v>3.8571428571428568</v>
      </c>
      <c r="G238" s="146">
        <v>379</v>
      </c>
      <c r="H238" s="147">
        <f t="shared" si="21"/>
        <v>-7.1078431372548989E-2</v>
      </c>
      <c r="I238" s="146">
        <v>638</v>
      </c>
      <c r="J238" s="147">
        <f t="shared" si="21"/>
        <v>0.68337730870712399</v>
      </c>
      <c r="K238" s="146">
        <v>350</v>
      </c>
      <c r="L238" s="147">
        <f t="shared" si="21"/>
        <v>-0.45141065830721006</v>
      </c>
      <c r="M238" s="146"/>
      <c r="N238" s="147"/>
    </row>
    <row r="239" spans="2:15" x14ac:dyDescent="0.25">
      <c r="B239" s="145" t="s">
        <v>93</v>
      </c>
      <c r="C239" s="146">
        <v>72</v>
      </c>
      <c r="D239" s="147">
        <v>-0.77500000000000002</v>
      </c>
      <c r="E239" s="146">
        <v>628</v>
      </c>
      <c r="F239" s="147">
        <f t="shared" si="21"/>
        <v>7.7222222222222214</v>
      </c>
      <c r="G239" s="146">
        <v>412</v>
      </c>
      <c r="H239" s="147">
        <f t="shared" si="21"/>
        <v>-0.3439490445859873</v>
      </c>
      <c r="I239" s="146">
        <v>437</v>
      </c>
      <c r="J239" s="147">
        <f t="shared" si="21"/>
        <v>6.0679611650485521E-2</v>
      </c>
      <c r="K239" s="146">
        <v>424</v>
      </c>
      <c r="L239" s="147">
        <f t="shared" si="21"/>
        <v>-2.9748283752860427E-2</v>
      </c>
      <c r="M239" s="146"/>
      <c r="N239" s="147"/>
    </row>
    <row r="240" spans="2:15" x14ac:dyDescent="0.25">
      <c r="B240" s="145" t="s">
        <v>95</v>
      </c>
      <c r="C240" s="146">
        <v>126</v>
      </c>
      <c r="D240" s="147">
        <v>-0.70833333333333326</v>
      </c>
      <c r="E240" s="146">
        <v>549</v>
      </c>
      <c r="F240" s="147">
        <f t="shared" si="21"/>
        <v>3.3571428571428568</v>
      </c>
      <c r="G240" s="146">
        <v>478</v>
      </c>
      <c r="H240" s="147">
        <f t="shared" si="21"/>
        <v>-0.12932604735883424</v>
      </c>
      <c r="I240" s="146">
        <v>522</v>
      </c>
      <c r="J240" s="147">
        <f t="shared" si="21"/>
        <v>9.2050209205020828E-2</v>
      </c>
      <c r="K240" s="146">
        <v>497</v>
      </c>
      <c r="L240" s="147">
        <f t="shared" si="21"/>
        <v>-4.789272030651337E-2</v>
      </c>
      <c r="M240" s="146"/>
      <c r="N240" s="147"/>
    </row>
    <row r="241" spans="2:15" ht="15.75" x14ac:dyDescent="0.25">
      <c r="B241" s="148" t="s">
        <v>32</v>
      </c>
      <c r="C241" s="149">
        <v>1935</v>
      </c>
      <c r="D241" s="150">
        <v>-0.5420118343195266</v>
      </c>
      <c r="E241" s="149">
        <v>3344</v>
      </c>
      <c r="F241" s="150">
        <f t="shared" si="21"/>
        <v>0.72816537467700249</v>
      </c>
      <c r="G241" s="149">
        <v>4569</v>
      </c>
      <c r="H241" s="150">
        <f t="shared" si="21"/>
        <v>0.36632775119617222</v>
      </c>
      <c r="I241" s="149">
        <v>5490</v>
      </c>
      <c r="J241" s="150">
        <f t="shared" si="21"/>
        <v>0.20157583716349303</v>
      </c>
      <c r="K241" s="149">
        <v>5563</v>
      </c>
      <c r="L241" s="150">
        <f t="shared" si="21"/>
        <v>1.3296903460837894E-2</v>
      </c>
      <c r="M241" s="149">
        <v>3200</v>
      </c>
      <c r="N241" s="150">
        <v>-0.25442684063373722</v>
      </c>
    </row>
    <row r="242" spans="2:15" ht="6" customHeight="1" x14ac:dyDescent="0.25"/>
    <row r="243" spans="2:15" x14ac:dyDescent="0.25">
      <c r="B243" s="131" t="s">
        <v>57</v>
      </c>
      <c r="C243" s="131"/>
      <c r="D243" s="131"/>
      <c r="E243" s="131"/>
      <c r="F243" s="131"/>
      <c r="G243" s="131"/>
      <c r="H243" s="131"/>
      <c r="I243" s="131"/>
      <c r="J243" s="131"/>
      <c r="K243" s="131"/>
      <c r="L243" s="131"/>
      <c r="M243" s="131"/>
      <c r="N243" s="131"/>
    </row>
    <row r="244" spans="2:15" x14ac:dyDescent="0.25">
      <c r="C244" s="151"/>
      <c r="K244" s="151"/>
      <c r="M244" s="131"/>
    </row>
    <row r="246" spans="2:15" ht="48.75" customHeight="1" thickBot="1" x14ac:dyDescent="0.3">
      <c r="B246" s="12" t="s">
        <v>248</v>
      </c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" t="s">
        <v>128</v>
      </c>
    </row>
    <row r="247" spans="2:15" ht="10.5" customHeight="1" thickBot="1" x14ac:dyDescent="0.3">
      <c r="B247" s="132"/>
      <c r="C247" s="133"/>
      <c r="D247" s="132"/>
      <c r="E247" s="132"/>
      <c r="F247" s="132"/>
      <c r="G247" s="132"/>
      <c r="H247" s="132"/>
      <c r="I247" s="132"/>
      <c r="J247" s="132"/>
      <c r="K247" s="132"/>
      <c r="L247" s="132"/>
      <c r="M247" s="4"/>
      <c r="N247" s="4"/>
      <c r="O247" s="1" t="s">
        <v>129</v>
      </c>
    </row>
    <row r="248" spans="2:15" ht="22.5" thickTop="1" thickBot="1" x14ac:dyDescent="0.3">
      <c r="B248" s="152" t="str">
        <f>C248</f>
        <v>Dinamarca</v>
      </c>
      <c r="C248" s="135" t="s">
        <v>130</v>
      </c>
      <c r="D248" s="136"/>
      <c r="E248" s="136"/>
      <c r="F248" s="136"/>
      <c r="G248" s="136"/>
      <c r="H248" s="136"/>
      <c r="I248" s="136"/>
      <c r="J248" s="136"/>
      <c r="K248" s="136"/>
      <c r="L248" s="136"/>
      <c r="M248" s="136"/>
      <c r="N248" s="136"/>
    </row>
    <row r="249" spans="2:15" ht="22.5" thickTop="1" thickBot="1" x14ac:dyDescent="0.3">
      <c r="B249" s="137"/>
      <c r="C249" s="138">
        <f>C$7</f>
        <v>2020</v>
      </c>
      <c r="D249" s="139"/>
      <c r="E249" s="138">
        <f>E$7</f>
        <v>2021</v>
      </c>
      <c r="F249" s="139"/>
      <c r="G249" s="138">
        <f>G$7</f>
        <v>2022</v>
      </c>
      <c r="H249" s="139"/>
      <c r="I249" s="138">
        <f>I$7</f>
        <v>2023</v>
      </c>
      <c r="J249" s="139"/>
      <c r="K249" s="138">
        <f>K$7</f>
        <v>2024</v>
      </c>
      <c r="L249" s="139"/>
      <c r="M249" s="138">
        <f>M$7</f>
        <v>2025</v>
      </c>
      <c r="N249" s="139"/>
    </row>
    <row r="250" spans="2:15" ht="16.5" thickTop="1" thickBot="1" x14ac:dyDescent="0.3">
      <c r="B250" s="109"/>
      <c r="C250" s="142" t="s">
        <v>71</v>
      </c>
      <c r="D250" s="143" t="str">
        <f>CONCATENATE("var ",RIGHT(C249,2),"/",RIGHT(C249-1,2))</f>
        <v>var 20/19</v>
      </c>
      <c r="E250" s="144" t="s">
        <v>71</v>
      </c>
      <c r="F250" s="143" t="str">
        <f>CONCATENATE("var ",RIGHT(E249,2),"/",RIGHT(E249-1,2))</f>
        <v>var 21/20</v>
      </c>
      <c r="G250" s="144" t="s">
        <v>71</v>
      </c>
      <c r="H250" s="143" t="str">
        <f>CONCATENATE("var ",RIGHT(G249,2),"/",RIGHT(G249-1,2))</f>
        <v>var 22/21</v>
      </c>
      <c r="I250" s="144" t="s">
        <v>71</v>
      </c>
      <c r="J250" s="143" t="str">
        <f>CONCATENATE("var ",RIGHT(I249,2),"/",RIGHT(I249-1,2))</f>
        <v>var 23/22</v>
      </c>
      <c r="K250" s="144" t="s">
        <v>71</v>
      </c>
      <c r="L250" s="143" t="str">
        <f>CONCATENATE("var ",RIGHT(K249,2),"/",RIGHT(K249-1,2))</f>
        <v>var 24/23</v>
      </c>
      <c r="M250" s="144" t="s">
        <v>71</v>
      </c>
      <c r="N250" s="143" t="str">
        <f>CONCATENATE("var ",RIGHT(M249,2),"/",RIGHT(M249-1,2))</f>
        <v>var 25/24</v>
      </c>
    </row>
    <row r="251" spans="2:15" x14ac:dyDescent="0.25">
      <c r="B251" s="145" t="s">
        <v>73</v>
      </c>
      <c r="C251" s="146">
        <v>611</v>
      </c>
      <c r="D251" s="147">
        <v>0.45130641330166266</v>
      </c>
      <c r="E251" s="146">
        <v>18</v>
      </c>
      <c r="F251" s="147">
        <f t="shared" ref="F251:L263" si="23">IFERROR(E251/C251-1,"-")</f>
        <v>-0.97054009819967269</v>
      </c>
      <c r="G251" s="146">
        <v>458</v>
      </c>
      <c r="H251" s="147">
        <f t="shared" si="23"/>
        <v>24.444444444444443</v>
      </c>
      <c r="I251" s="146">
        <v>905</v>
      </c>
      <c r="J251" s="147">
        <f t="shared" si="23"/>
        <v>0.97598253275109181</v>
      </c>
      <c r="K251" s="146">
        <v>616</v>
      </c>
      <c r="L251" s="147">
        <f t="shared" si="23"/>
        <v>-0.31933701657458569</v>
      </c>
      <c r="M251" s="146">
        <v>664</v>
      </c>
      <c r="N251" s="147">
        <f t="shared" ref="N251:N259" si="24">IFERROR(M251/K251-1,"-")</f>
        <v>7.7922077922077948E-2</v>
      </c>
    </row>
    <row r="252" spans="2:15" x14ac:dyDescent="0.25">
      <c r="B252" s="145" t="s">
        <v>75</v>
      </c>
      <c r="C252" s="146">
        <v>1068</v>
      </c>
      <c r="D252" s="147">
        <v>1.3116883116883118</v>
      </c>
      <c r="E252" s="146">
        <v>3</v>
      </c>
      <c r="F252" s="147">
        <f t="shared" si="23"/>
        <v>-0.9971910112359551</v>
      </c>
      <c r="G252" s="146">
        <v>444</v>
      </c>
      <c r="H252" s="147">
        <f t="shared" si="23"/>
        <v>147</v>
      </c>
      <c r="I252" s="146">
        <v>665</v>
      </c>
      <c r="J252" s="147">
        <f t="shared" si="23"/>
        <v>0.49774774774774766</v>
      </c>
      <c r="K252" s="146">
        <v>638</v>
      </c>
      <c r="L252" s="147">
        <f t="shared" si="23"/>
        <v>-4.0601503759398527E-2</v>
      </c>
      <c r="M252" s="146">
        <v>582</v>
      </c>
      <c r="N252" s="147">
        <f t="shared" si="24"/>
        <v>-8.7774294670846409E-2</v>
      </c>
    </row>
    <row r="253" spans="2:15" x14ac:dyDescent="0.25">
      <c r="B253" s="145" t="s">
        <v>77</v>
      </c>
      <c r="C253" s="146">
        <v>282</v>
      </c>
      <c r="D253" s="147">
        <v>-0.38961038961038963</v>
      </c>
      <c r="E253" s="146">
        <v>3</v>
      </c>
      <c r="F253" s="147">
        <f t="shared" si="23"/>
        <v>-0.98936170212765961</v>
      </c>
      <c r="G253" s="146">
        <v>515</v>
      </c>
      <c r="H253" s="147">
        <f t="shared" si="23"/>
        <v>170.66666666666666</v>
      </c>
      <c r="I253" s="146">
        <v>457</v>
      </c>
      <c r="J253" s="147">
        <f t="shared" si="23"/>
        <v>-0.11262135922330097</v>
      </c>
      <c r="K253" s="146">
        <v>499</v>
      </c>
      <c r="L253" s="147">
        <f t="shared" si="23"/>
        <v>9.1903719912472592E-2</v>
      </c>
      <c r="M253" s="146">
        <v>650</v>
      </c>
      <c r="N253" s="147">
        <f t="shared" si="24"/>
        <v>0.30260521042084165</v>
      </c>
    </row>
    <row r="254" spans="2:15" x14ac:dyDescent="0.25">
      <c r="B254" s="145" t="s">
        <v>79</v>
      </c>
      <c r="C254" s="146">
        <v>0</v>
      </c>
      <c r="D254" s="147">
        <v>-1</v>
      </c>
      <c r="E254" s="146">
        <v>0</v>
      </c>
      <c r="F254" s="147" t="str">
        <f t="shared" si="23"/>
        <v>-</v>
      </c>
      <c r="G254" s="146">
        <v>328</v>
      </c>
      <c r="H254" s="147" t="str">
        <f t="shared" si="23"/>
        <v>-</v>
      </c>
      <c r="I254" s="146">
        <v>202</v>
      </c>
      <c r="J254" s="147">
        <f t="shared" si="23"/>
        <v>-0.38414634146341464</v>
      </c>
      <c r="K254" s="146">
        <v>203</v>
      </c>
      <c r="L254" s="147">
        <f t="shared" si="23"/>
        <v>4.9504950495049549E-3</v>
      </c>
      <c r="M254" s="146">
        <v>320</v>
      </c>
      <c r="N254" s="147">
        <f t="shared" si="24"/>
        <v>0.57635467980295574</v>
      </c>
    </row>
    <row r="255" spans="2:15" x14ac:dyDescent="0.25">
      <c r="B255" s="145" t="s">
        <v>81</v>
      </c>
      <c r="C255" s="146">
        <v>0</v>
      </c>
      <c r="D255" s="147">
        <v>-1</v>
      </c>
      <c r="E255" s="146">
        <v>10</v>
      </c>
      <c r="F255" s="147" t="str">
        <f t="shared" si="23"/>
        <v>-</v>
      </c>
      <c r="G255" s="146">
        <v>22</v>
      </c>
      <c r="H255" s="147">
        <f t="shared" si="23"/>
        <v>1.2000000000000002</v>
      </c>
      <c r="I255" s="146">
        <v>9</v>
      </c>
      <c r="J255" s="147">
        <f t="shared" si="23"/>
        <v>-0.59090909090909083</v>
      </c>
      <c r="K255" s="146">
        <v>22</v>
      </c>
      <c r="L255" s="147">
        <f t="shared" si="23"/>
        <v>1.4444444444444446</v>
      </c>
      <c r="M255" s="146">
        <v>9</v>
      </c>
      <c r="N255" s="147">
        <f t="shared" si="24"/>
        <v>-0.59090909090909083</v>
      </c>
    </row>
    <row r="256" spans="2:15" x14ac:dyDescent="0.25">
      <c r="B256" s="145" t="s">
        <v>83</v>
      </c>
      <c r="C256" s="146">
        <v>0</v>
      </c>
      <c r="D256" s="147">
        <v>-1</v>
      </c>
      <c r="E256" s="146">
        <v>2</v>
      </c>
      <c r="F256" s="147" t="str">
        <f t="shared" si="23"/>
        <v>-</v>
      </c>
      <c r="G256" s="146">
        <v>23</v>
      </c>
      <c r="H256" s="147">
        <f t="shared" si="23"/>
        <v>10.5</v>
      </c>
      <c r="I256" s="146">
        <v>2</v>
      </c>
      <c r="J256" s="147">
        <f t="shared" si="23"/>
        <v>-0.91304347826086962</v>
      </c>
      <c r="K256" s="146">
        <v>6</v>
      </c>
      <c r="L256" s="147">
        <f t="shared" si="23"/>
        <v>2</v>
      </c>
      <c r="M256" s="146">
        <v>23</v>
      </c>
      <c r="N256" s="147">
        <f t="shared" si="24"/>
        <v>2.8333333333333335</v>
      </c>
    </row>
    <row r="257" spans="2:15" x14ac:dyDescent="0.25">
      <c r="B257" s="145" t="s">
        <v>85</v>
      </c>
      <c r="C257" s="146">
        <v>0</v>
      </c>
      <c r="D257" s="147">
        <v>-1</v>
      </c>
      <c r="E257" s="146">
        <v>28</v>
      </c>
      <c r="F257" s="147" t="str">
        <f t="shared" si="23"/>
        <v>-</v>
      </c>
      <c r="G257" s="146">
        <v>80</v>
      </c>
      <c r="H257" s="147">
        <f t="shared" si="23"/>
        <v>1.8571428571428572</v>
      </c>
      <c r="I257" s="146">
        <v>5</v>
      </c>
      <c r="J257" s="147">
        <f t="shared" si="23"/>
        <v>-0.9375</v>
      </c>
      <c r="K257" s="146">
        <v>17</v>
      </c>
      <c r="L257" s="147">
        <f t="shared" si="23"/>
        <v>2.4</v>
      </c>
      <c r="M257" s="146">
        <v>57</v>
      </c>
      <c r="N257" s="147">
        <f t="shared" si="24"/>
        <v>2.3529411764705883</v>
      </c>
    </row>
    <row r="258" spans="2:15" x14ac:dyDescent="0.25">
      <c r="B258" s="145" t="s">
        <v>87</v>
      </c>
      <c r="C258" s="146">
        <v>0</v>
      </c>
      <c r="D258" s="147">
        <v>-1</v>
      </c>
      <c r="E258" s="146">
        <v>0</v>
      </c>
      <c r="F258" s="147" t="str">
        <f t="shared" si="23"/>
        <v>-</v>
      </c>
      <c r="G258" s="146">
        <v>7</v>
      </c>
      <c r="H258" s="147" t="str">
        <f t="shared" si="23"/>
        <v>-</v>
      </c>
      <c r="I258" s="146">
        <v>15</v>
      </c>
      <c r="J258" s="147">
        <f t="shared" si="23"/>
        <v>1.1428571428571428</v>
      </c>
      <c r="K258" s="146">
        <v>25</v>
      </c>
      <c r="L258" s="147">
        <f t="shared" si="23"/>
        <v>0.66666666666666674</v>
      </c>
      <c r="M258" s="146">
        <v>11</v>
      </c>
      <c r="N258" s="147">
        <f t="shared" si="24"/>
        <v>-0.56000000000000005</v>
      </c>
    </row>
    <row r="259" spans="2:15" x14ac:dyDescent="0.25">
      <c r="B259" s="145" t="s">
        <v>89</v>
      </c>
      <c r="C259" s="146">
        <v>2</v>
      </c>
      <c r="D259" s="147">
        <v>-0.77777777777777779</v>
      </c>
      <c r="E259" s="146">
        <v>3</v>
      </c>
      <c r="F259" s="147">
        <f t="shared" si="23"/>
        <v>0.5</v>
      </c>
      <c r="G259" s="146">
        <v>21</v>
      </c>
      <c r="H259" s="147">
        <f t="shared" si="23"/>
        <v>6</v>
      </c>
      <c r="I259" s="146">
        <v>12</v>
      </c>
      <c r="J259" s="147">
        <f t="shared" si="23"/>
        <v>-0.4285714285714286</v>
      </c>
      <c r="K259" s="146">
        <v>10</v>
      </c>
      <c r="L259" s="147">
        <f t="shared" si="23"/>
        <v>-0.16666666666666663</v>
      </c>
      <c r="M259" s="146">
        <v>17</v>
      </c>
      <c r="N259" s="147">
        <f t="shared" si="24"/>
        <v>0.7</v>
      </c>
    </row>
    <row r="260" spans="2:15" x14ac:dyDescent="0.25">
      <c r="B260" s="145" t="s">
        <v>91</v>
      </c>
      <c r="C260" s="146">
        <v>2</v>
      </c>
      <c r="D260" s="147">
        <v>-0.9920948616600791</v>
      </c>
      <c r="E260" s="146">
        <v>285</v>
      </c>
      <c r="F260" s="147">
        <f t="shared" si="23"/>
        <v>141.5</v>
      </c>
      <c r="G260" s="146">
        <v>86</v>
      </c>
      <c r="H260" s="147">
        <f t="shared" si="23"/>
        <v>-0.69824561403508767</v>
      </c>
      <c r="I260" s="146">
        <v>77</v>
      </c>
      <c r="J260" s="147">
        <f t="shared" si="23"/>
        <v>-0.10465116279069764</v>
      </c>
      <c r="K260" s="146">
        <v>176</v>
      </c>
      <c r="L260" s="147">
        <f t="shared" si="23"/>
        <v>1.2857142857142856</v>
      </c>
      <c r="M260" s="146"/>
      <c r="N260" s="147"/>
    </row>
    <row r="261" spans="2:15" x14ac:dyDescent="0.25">
      <c r="B261" s="145" t="s">
        <v>93</v>
      </c>
      <c r="C261" s="146">
        <v>3</v>
      </c>
      <c r="D261" s="147">
        <v>-0.99009900990099009</v>
      </c>
      <c r="E261" s="146">
        <v>577</v>
      </c>
      <c r="F261" s="147">
        <f t="shared" si="23"/>
        <v>191.33333333333334</v>
      </c>
      <c r="G261" s="146">
        <v>784</v>
      </c>
      <c r="H261" s="147">
        <f t="shared" si="23"/>
        <v>0.35875216637781637</v>
      </c>
      <c r="I261" s="146">
        <v>782</v>
      </c>
      <c r="J261" s="147">
        <f t="shared" si="23"/>
        <v>-2.5510204081632404E-3</v>
      </c>
      <c r="K261" s="146">
        <v>514</v>
      </c>
      <c r="L261" s="147">
        <f t="shared" si="23"/>
        <v>-0.34271099744245526</v>
      </c>
      <c r="M261" s="146"/>
      <c r="N261" s="147"/>
    </row>
    <row r="262" spans="2:15" x14ac:dyDescent="0.25">
      <c r="B262" s="145" t="s">
        <v>95</v>
      </c>
      <c r="C262" s="146">
        <v>6</v>
      </c>
      <c r="D262" s="147">
        <v>-0.98119122257053293</v>
      </c>
      <c r="E262" s="146">
        <v>493</v>
      </c>
      <c r="F262" s="147">
        <f t="shared" si="23"/>
        <v>81.166666666666671</v>
      </c>
      <c r="G262" s="146">
        <v>556</v>
      </c>
      <c r="H262" s="147">
        <f t="shared" si="23"/>
        <v>0.12778904665314395</v>
      </c>
      <c r="I262" s="146">
        <v>560</v>
      </c>
      <c r="J262" s="147">
        <f t="shared" si="23"/>
        <v>7.194244604316502E-3</v>
      </c>
      <c r="K262" s="146">
        <v>676</v>
      </c>
      <c r="L262" s="147">
        <f t="shared" si="23"/>
        <v>0.20714285714285707</v>
      </c>
      <c r="M262" s="146"/>
      <c r="N262" s="147"/>
    </row>
    <row r="263" spans="2:15" ht="15.75" x14ac:dyDescent="0.25">
      <c r="B263" s="148" t="s">
        <v>32</v>
      </c>
      <c r="C263" s="149">
        <v>1979</v>
      </c>
      <c r="D263" s="150">
        <v>-0.18492586490939045</v>
      </c>
      <c r="E263" s="149">
        <v>1422</v>
      </c>
      <c r="F263" s="150">
        <f t="shared" si="23"/>
        <v>-0.28145528044466905</v>
      </c>
      <c r="G263" s="149">
        <v>3324</v>
      </c>
      <c r="H263" s="150">
        <f t="shared" si="23"/>
        <v>1.3375527426160336</v>
      </c>
      <c r="I263" s="149">
        <v>3691</v>
      </c>
      <c r="J263" s="150">
        <f t="shared" si="23"/>
        <v>0.11040914560770165</v>
      </c>
      <c r="K263" s="149">
        <v>3402</v>
      </c>
      <c r="L263" s="150">
        <f t="shared" si="23"/>
        <v>-7.8298564074776533E-2</v>
      </c>
      <c r="M263" s="149">
        <v>2333</v>
      </c>
      <c r="N263" s="150">
        <v>0.1458742632612966</v>
      </c>
    </row>
    <row r="264" spans="2:15" ht="6" customHeight="1" x14ac:dyDescent="0.25"/>
    <row r="265" spans="2:15" x14ac:dyDescent="0.25">
      <c r="B265" s="131" t="s">
        <v>57</v>
      </c>
      <c r="C265" s="131"/>
      <c r="D265" s="131"/>
      <c r="E265" s="131"/>
      <c r="F265" s="131"/>
      <c r="G265" s="131"/>
      <c r="H265" s="131"/>
      <c r="I265" s="131"/>
      <c r="J265" s="131"/>
      <c r="K265" s="131"/>
      <c r="L265" s="131"/>
      <c r="M265" s="131"/>
      <c r="N265" s="131"/>
    </row>
    <row r="266" spans="2:15" x14ac:dyDescent="0.25">
      <c r="K266" s="151"/>
    </row>
    <row r="268" spans="2:15" ht="48.75" customHeight="1" thickBot="1" x14ac:dyDescent="0.3">
      <c r="B268" s="12" t="s">
        <v>249</v>
      </c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" t="s">
        <v>131</v>
      </c>
    </row>
    <row r="269" spans="2:15" ht="10.5" customHeight="1" thickBot="1" x14ac:dyDescent="0.3">
      <c r="B269" s="132"/>
      <c r="C269" s="133"/>
      <c r="D269" s="132"/>
      <c r="E269" s="132"/>
      <c r="F269" s="132"/>
      <c r="G269" s="132"/>
      <c r="H269" s="132"/>
      <c r="I269" s="132"/>
      <c r="J269" s="132"/>
      <c r="K269" s="132"/>
      <c r="L269" s="132"/>
      <c r="M269" s="4"/>
      <c r="N269" s="4"/>
      <c r="O269" s="1" t="s">
        <v>132</v>
      </c>
    </row>
    <row r="270" spans="2:15" ht="22.5" thickTop="1" thickBot="1" x14ac:dyDescent="0.3">
      <c r="B270" s="152" t="str">
        <f>C270</f>
        <v>Suecia</v>
      </c>
      <c r="C270" s="135" t="s">
        <v>133</v>
      </c>
      <c r="D270" s="136"/>
      <c r="E270" s="136"/>
      <c r="F270" s="136"/>
      <c r="G270" s="136"/>
      <c r="H270" s="136"/>
      <c r="I270" s="136"/>
      <c r="J270" s="136"/>
      <c r="K270" s="136"/>
      <c r="L270" s="136"/>
      <c r="M270" s="136"/>
      <c r="N270" s="136"/>
    </row>
    <row r="271" spans="2:15" ht="22.5" thickTop="1" thickBot="1" x14ac:dyDescent="0.3">
      <c r="B271" s="137"/>
      <c r="C271" s="138">
        <f>C$7</f>
        <v>2020</v>
      </c>
      <c r="D271" s="139"/>
      <c r="E271" s="138">
        <f>E$7</f>
        <v>2021</v>
      </c>
      <c r="F271" s="139"/>
      <c r="G271" s="138">
        <f>G$7</f>
        <v>2022</v>
      </c>
      <c r="H271" s="139"/>
      <c r="I271" s="138">
        <f>I$7</f>
        <v>2023</v>
      </c>
      <c r="J271" s="139"/>
      <c r="K271" s="138">
        <f>K$7</f>
        <v>2024</v>
      </c>
      <c r="L271" s="139"/>
      <c r="M271" s="138">
        <f>M$7</f>
        <v>2025</v>
      </c>
      <c r="N271" s="139"/>
    </row>
    <row r="272" spans="2:15" ht="16.5" thickTop="1" thickBot="1" x14ac:dyDescent="0.3">
      <c r="B272" s="109"/>
      <c r="C272" s="142" t="s">
        <v>71</v>
      </c>
      <c r="D272" s="143" t="str">
        <f>CONCATENATE("var ",RIGHT(C271,2),"/",RIGHT(C271-1,2))</f>
        <v>var 20/19</v>
      </c>
      <c r="E272" s="144" t="s">
        <v>71</v>
      </c>
      <c r="F272" s="143" t="str">
        <f>CONCATENATE("var ",RIGHT(E271,2),"/",RIGHT(E271-1,2))</f>
        <v>var 21/20</v>
      </c>
      <c r="G272" s="144" t="s">
        <v>71</v>
      </c>
      <c r="H272" s="143" t="str">
        <f>CONCATENATE("var ",RIGHT(G271,2),"/",RIGHT(G271-1,2))</f>
        <v>var 22/21</v>
      </c>
      <c r="I272" s="144" t="s">
        <v>71</v>
      </c>
      <c r="J272" s="143" t="str">
        <f>CONCATENATE("var ",RIGHT(I271,2),"/",RIGHT(I271-1,2))</f>
        <v>var 23/22</v>
      </c>
      <c r="K272" s="144" t="s">
        <v>71</v>
      </c>
      <c r="L272" s="143" t="str">
        <f>CONCATENATE("var ",RIGHT(K271,2),"/",RIGHT(K271-1,2))</f>
        <v>var 24/23</v>
      </c>
      <c r="M272" s="144" t="s">
        <v>71</v>
      </c>
      <c r="N272" s="143" t="str">
        <f>CONCATENATE("var ",RIGHT(M271,2),"/",RIGHT(M271-1,2))</f>
        <v>var 25/24</v>
      </c>
    </row>
    <row r="273" spans="2:14" x14ac:dyDescent="0.25">
      <c r="B273" s="145" t="s">
        <v>73</v>
      </c>
      <c r="C273" s="146">
        <v>1321</v>
      </c>
      <c r="D273" s="147">
        <v>-0.14884020618556704</v>
      </c>
      <c r="E273" s="146">
        <v>8</v>
      </c>
      <c r="F273" s="147">
        <f t="shared" ref="F273:L285" si="25">IFERROR(E273/C273-1,"-")</f>
        <v>-0.99394398183194554</v>
      </c>
      <c r="G273" s="146">
        <v>232</v>
      </c>
      <c r="H273" s="147">
        <f t="shared" si="25"/>
        <v>28</v>
      </c>
      <c r="I273" s="146">
        <v>528</v>
      </c>
      <c r="J273" s="147">
        <f t="shared" si="25"/>
        <v>1.2758620689655173</v>
      </c>
      <c r="K273" s="146">
        <v>491</v>
      </c>
      <c r="L273" s="147">
        <f t="shared" si="25"/>
        <v>-7.0075757575757569E-2</v>
      </c>
      <c r="M273" s="146">
        <v>342</v>
      </c>
      <c r="N273" s="147">
        <f t="shared" ref="N273:N281" si="26">IFERROR(M273/K273-1,"-")</f>
        <v>-0.30346232179226074</v>
      </c>
    </row>
    <row r="274" spans="2:14" x14ac:dyDescent="0.25">
      <c r="B274" s="145" t="s">
        <v>75</v>
      </c>
      <c r="C274" s="146">
        <v>2158</v>
      </c>
      <c r="D274" s="147">
        <v>0.93023255813953498</v>
      </c>
      <c r="E274" s="146">
        <v>11</v>
      </c>
      <c r="F274" s="147">
        <f t="shared" si="25"/>
        <v>-0.99490268767377199</v>
      </c>
      <c r="G274" s="146">
        <v>194</v>
      </c>
      <c r="H274" s="147">
        <f t="shared" si="25"/>
        <v>16.636363636363637</v>
      </c>
      <c r="I274" s="146">
        <v>457</v>
      </c>
      <c r="J274" s="147">
        <f t="shared" si="25"/>
        <v>1.3556701030927836</v>
      </c>
      <c r="K274" s="146">
        <v>407</v>
      </c>
      <c r="L274" s="147">
        <f t="shared" si="25"/>
        <v>-0.10940919037199126</v>
      </c>
      <c r="M274" s="146">
        <v>288</v>
      </c>
      <c r="N274" s="147">
        <f t="shared" si="26"/>
        <v>-0.29238329238329241</v>
      </c>
    </row>
    <row r="275" spans="2:14" x14ac:dyDescent="0.25">
      <c r="B275" s="145" t="s">
        <v>77</v>
      </c>
      <c r="C275" s="146">
        <v>454</v>
      </c>
      <c r="D275" s="147">
        <v>-0.55707317073170737</v>
      </c>
      <c r="E275" s="146">
        <v>15</v>
      </c>
      <c r="F275" s="147">
        <f t="shared" si="25"/>
        <v>-0.96696035242290745</v>
      </c>
      <c r="G275" s="146">
        <v>261</v>
      </c>
      <c r="H275" s="147">
        <f t="shared" si="25"/>
        <v>16.399999999999999</v>
      </c>
      <c r="I275" s="146">
        <v>280</v>
      </c>
      <c r="J275" s="147">
        <f t="shared" si="25"/>
        <v>7.2796934865900331E-2</v>
      </c>
      <c r="K275" s="146">
        <v>446</v>
      </c>
      <c r="L275" s="147">
        <f t="shared" si="25"/>
        <v>0.59285714285714275</v>
      </c>
      <c r="M275" s="146">
        <v>331</v>
      </c>
      <c r="N275" s="147">
        <f t="shared" si="26"/>
        <v>-0.25784753363228696</v>
      </c>
    </row>
    <row r="276" spans="2:14" x14ac:dyDescent="0.25">
      <c r="B276" s="145" t="s">
        <v>79</v>
      </c>
      <c r="C276" s="146">
        <v>0</v>
      </c>
      <c r="D276" s="147">
        <v>-1</v>
      </c>
      <c r="E276" s="146">
        <v>0</v>
      </c>
      <c r="F276" s="147" t="str">
        <f t="shared" si="25"/>
        <v>-</v>
      </c>
      <c r="G276" s="146">
        <v>187</v>
      </c>
      <c r="H276" s="147" t="str">
        <f t="shared" si="25"/>
        <v>-</v>
      </c>
      <c r="I276" s="146">
        <v>281</v>
      </c>
      <c r="J276" s="147">
        <f t="shared" si="25"/>
        <v>0.50267379679144386</v>
      </c>
      <c r="K276" s="146">
        <v>96</v>
      </c>
      <c r="L276" s="147">
        <f t="shared" si="25"/>
        <v>-0.65836298932384341</v>
      </c>
      <c r="M276" s="146">
        <v>95</v>
      </c>
      <c r="N276" s="147">
        <f t="shared" si="26"/>
        <v>-1.041666666666663E-2</v>
      </c>
    </row>
    <row r="277" spans="2:14" x14ac:dyDescent="0.25">
      <c r="B277" s="145" t="s">
        <v>81</v>
      </c>
      <c r="C277" s="146">
        <v>0</v>
      </c>
      <c r="D277" s="147">
        <v>-1</v>
      </c>
      <c r="E277" s="146">
        <v>3</v>
      </c>
      <c r="F277" s="147" t="str">
        <f t="shared" si="25"/>
        <v>-</v>
      </c>
      <c r="G277" s="146">
        <v>2</v>
      </c>
      <c r="H277" s="147">
        <f t="shared" si="25"/>
        <v>-0.33333333333333337</v>
      </c>
      <c r="I277" s="146">
        <v>28</v>
      </c>
      <c r="J277" s="147">
        <f t="shared" si="25"/>
        <v>13</v>
      </c>
      <c r="K277" s="146">
        <v>14</v>
      </c>
      <c r="L277" s="147">
        <f t="shared" si="25"/>
        <v>-0.5</v>
      </c>
      <c r="M277" s="146">
        <v>14</v>
      </c>
      <c r="N277" s="147">
        <f t="shared" si="26"/>
        <v>0</v>
      </c>
    </row>
    <row r="278" spans="2:14" x14ac:dyDescent="0.25">
      <c r="B278" s="145" t="s">
        <v>83</v>
      </c>
      <c r="C278" s="146">
        <v>0</v>
      </c>
      <c r="D278" s="147">
        <v>-1</v>
      </c>
      <c r="E278" s="146">
        <v>4</v>
      </c>
      <c r="F278" s="147" t="str">
        <f t="shared" si="25"/>
        <v>-</v>
      </c>
      <c r="G278" s="146">
        <v>12</v>
      </c>
      <c r="H278" s="147">
        <f t="shared" si="25"/>
        <v>2</v>
      </c>
      <c r="I278" s="146">
        <v>11</v>
      </c>
      <c r="J278" s="147">
        <f t="shared" si="25"/>
        <v>-8.333333333333337E-2</v>
      </c>
      <c r="K278" s="146">
        <v>5</v>
      </c>
      <c r="L278" s="147">
        <f t="shared" si="25"/>
        <v>-0.54545454545454541</v>
      </c>
      <c r="M278" s="146">
        <v>23</v>
      </c>
      <c r="N278" s="147">
        <f t="shared" si="26"/>
        <v>3.5999999999999996</v>
      </c>
    </row>
    <row r="279" spans="2:14" x14ac:dyDescent="0.25">
      <c r="B279" s="145" t="s">
        <v>85</v>
      </c>
      <c r="C279" s="146">
        <v>0</v>
      </c>
      <c r="D279" s="147">
        <v>-1</v>
      </c>
      <c r="E279" s="146">
        <v>12</v>
      </c>
      <c r="F279" s="147" t="str">
        <f t="shared" si="25"/>
        <v>-</v>
      </c>
      <c r="G279" s="146">
        <v>29</v>
      </c>
      <c r="H279" s="147">
        <f t="shared" si="25"/>
        <v>1.4166666666666665</v>
      </c>
      <c r="I279" s="146">
        <v>13</v>
      </c>
      <c r="J279" s="147">
        <f t="shared" si="25"/>
        <v>-0.55172413793103448</v>
      </c>
      <c r="K279" s="146">
        <v>25</v>
      </c>
      <c r="L279" s="147">
        <f t="shared" si="25"/>
        <v>0.92307692307692313</v>
      </c>
      <c r="M279" s="146">
        <v>25</v>
      </c>
      <c r="N279" s="147">
        <f t="shared" si="26"/>
        <v>0</v>
      </c>
    </row>
    <row r="280" spans="2:14" x14ac:dyDescent="0.25">
      <c r="B280" s="145" t="s">
        <v>87</v>
      </c>
      <c r="C280" s="146">
        <v>3</v>
      </c>
      <c r="D280" s="147">
        <v>-0.76923076923076916</v>
      </c>
      <c r="E280" s="146">
        <v>0</v>
      </c>
      <c r="F280" s="147">
        <f t="shared" si="25"/>
        <v>-1</v>
      </c>
      <c r="G280" s="146">
        <v>9</v>
      </c>
      <c r="H280" s="147" t="str">
        <f t="shared" si="25"/>
        <v>-</v>
      </c>
      <c r="I280" s="146">
        <v>32</v>
      </c>
      <c r="J280" s="147">
        <f t="shared" si="25"/>
        <v>2.5555555555555554</v>
      </c>
      <c r="K280" s="146">
        <v>3</v>
      </c>
      <c r="L280" s="147">
        <f t="shared" si="25"/>
        <v>-0.90625</v>
      </c>
      <c r="M280" s="146">
        <v>8</v>
      </c>
      <c r="N280" s="147">
        <f t="shared" si="26"/>
        <v>1.6666666666666665</v>
      </c>
    </row>
    <row r="281" spans="2:14" x14ac:dyDescent="0.25">
      <c r="B281" s="145" t="s">
        <v>89</v>
      </c>
      <c r="C281" s="146">
        <v>0</v>
      </c>
      <c r="D281" s="147">
        <v>-1</v>
      </c>
      <c r="E281" s="146">
        <v>0</v>
      </c>
      <c r="F281" s="147" t="str">
        <f t="shared" si="25"/>
        <v>-</v>
      </c>
      <c r="G281" s="146">
        <v>0</v>
      </c>
      <c r="H281" s="147" t="str">
        <f t="shared" si="25"/>
        <v>-</v>
      </c>
      <c r="I281" s="146">
        <v>11</v>
      </c>
      <c r="J281" s="147" t="str">
        <f t="shared" si="25"/>
        <v>-</v>
      </c>
      <c r="K281" s="146">
        <v>12</v>
      </c>
      <c r="L281" s="147">
        <f t="shared" si="25"/>
        <v>9.0909090909090828E-2</v>
      </c>
      <c r="M281" s="146">
        <v>7</v>
      </c>
      <c r="N281" s="147">
        <f t="shared" si="26"/>
        <v>-0.41666666666666663</v>
      </c>
    </row>
    <row r="282" spans="2:14" x14ac:dyDescent="0.25">
      <c r="B282" s="145" t="s">
        <v>91</v>
      </c>
      <c r="C282" s="146">
        <v>57</v>
      </c>
      <c r="D282" s="147">
        <v>-0.80412371134020622</v>
      </c>
      <c r="E282" s="146">
        <v>142</v>
      </c>
      <c r="F282" s="147">
        <f t="shared" si="25"/>
        <v>1.4912280701754388</v>
      </c>
      <c r="G282" s="146">
        <v>151</v>
      </c>
      <c r="H282" s="147">
        <f t="shared" si="25"/>
        <v>6.3380281690140761E-2</v>
      </c>
      <c r="I282" s="146">
        <v>132</v>
      </c>
      <c r="J282" s="147">
        <f t="shared" si="25"/>
        <v>-0.1258278145695364</v>
      </c>
      <c r="K282" s="146">
        <v>229</v>
      </c>
      <c r="L282" s="147">
        <f t="shared" si="25"/>
        <v>0.73484848484848486</v>
      </c>
      <c r="M282" s="146"/>
      <c r="N282" s="147"/>
    </row>
    <row r="283" spans="2:14" x14ac:dyDescent="0.25">
      <c r="B283" s="145" t="s">
        <v>93</v>
      </c>
      <c r="C283" s="146">
        <v>35</v>
      </c>
      <c r="D283" s="147">
        <v>-0.95436766623207303</v>
      </c>
      <c r="E283" s="146">
        <v>377</v>
      </c>
      <c r="F283" s="147">
        <f t="shared" si="25"/>
        <v>9.7714285714285722</v>
      </c>
      <c r="G283" s="146">
        <v>417</v>
      </c>
      <c r="H283" s="147">
        <f t="shared" si="25"/>
        <v>0.10610079575596809</v>
      </c>
      <c r="I283" s="146">
        <v>543</v>
      </c>
      <c r="J283" s="147">
        <f t="shared" si="25"/>
        <v>0.30215827338129486</v>
      </c>
      <c r="K283" s="146">
        <v>519</v>
      </c>
      <c r="L283" s="147">
        <f t="shared" si="25"/>
        <v>-4.4198895027624308E-2</v>
      </c>
      <c r="M283" s="146"/>
      <c r="N283" s="147"/>
    </row>
    <row r="284" spans="2:14" x14ac:dyDescent="0.25">
      <c r="B284" s="145" t="s">
        <v>95</v>
      </c>
      <c r="C284" s="146">
        <v>12</v>
      </c>
      <c r="D284" s="147">
        <v>-0.98669623059866962</v>
      </c>
      <c r="E284" s="146">
        <v>375</v>
      </c>
      <c r="F284" s="147">
        <f t="shared" si="25"/>
        <v>30.25</v>
      </c>
      <c r="G284" s="146">
        <v>585</v>
      </c>
      <c r="H284" s="147">
        <f t="shared" si="25"/>
        <v>0.56000000000000005</v>
      </c>
      <c r="I284" s="146">
        <v>569</v>
      </c>
      <c r="J284" s="147">
        <f t="shared" si="25"/>
        <v>-2.7350427350427364E-2</v>
      </c>
      <c r="K284" s="146">
        <v>484</v>
      </c>
      <c r="L284" s="147">
        <f t="shared" si="25"/>
        <v>-0.14938488576449915</v>
      </c>
      <c r="M284" s="146"/>
      <c r="N284" s="147"/>
    </row>
    <row r="285" spans="2:14" ht="15.75" x14ac:dyDescent="0.25">
      <c r="B285" s="148" t="s">
        <v>32</v>
      </c>
      <c r="C285" s="149">
        <v>4050</v>
      </c>
      <c r="D285" s="150">
        <v>-0.34897926378395761</v>
      </c>
      <c r="E285" s="149">
        <v>947</v>
      </c>
      <c r="F285" s="150">
        <f t="shared" si="25"/>
        <v>-0.76617283950617288</v>
      </c>
      <c r="G285" s="149">
        <v>2079</v>
      </c>
      <c r="H285" s="150">
        <f t="shared" si="25"/>
        <v>1.1953537486800423</v>
      </c>
      <c r="I285" s="149">
        <v>2885</v>
      </c>
      <c r="J285" s="150">
        <f t="shared" si="25"/>
        <v>0.38768638768638763</v>
      </c>
      <c r="K285" s="149">
        <v>2731</v>
      </c>
      <c r="L285" s="150">
        <f t="shared" si="25"/>
        <v>-5.3379549393414161E-2</v>
      </c>
      <c r="M285" s="149">
        <v>1133</v>
      </c>
      <c r="N285" s="150">
        <v>-0.24416277518345564</v>
      </c>
    </row>
    <row r="286" spans="2:14" ht="6" customHeight="1" x14ac:dyDescent="0.25"/>
    <row r="287" spans="2:14" x14ac:dyDescent="0.25">
      <c r="B287" s="131" t="s">
        <v>57</v>
      </c>
      <c r="C287" s="131"/>
      <c r="D287" s="131"/>
      <c r="E287" s="131"/>
      <c r="F287" s="131"/>
      <c r="G287" s="131"/>
      <c r="H287" s="131"/>
      <c r="I287" s="131"/>
      <c r="J287" s="131"/>
      <c r="K287" s="131"/>
      <c r="L287" s="131"/>
      <c r="M287" s="131"/>
      <c r="N287" s="131"/>
    </row>
    <row r="288" spans="2:14" x14ac:dyDescent="0.25">
      <c r="C288" s="151"/>
      <c r="K288" s="151"/>
      <c r="N288" s="103"/>
    </row>
    <row r="290" spans="3:13" x14ac:dyDescent="0.25">
      <c r="C290" s="103"/>
      <c r="E290" s="103"/>
      <c r="G290" s="103"/>
      <c r="I290" s="103"/>
      <c r="K290" s="103"/>
      <c r="M290" s="103"/>
    </row>
  </sheetData>
  <mergeCells count="104">
    <mergeCell ref="B268:N268"/>
    <mergeCell ref="C270:N270"/>
    <mergeCell ref="C271:D271"/>
    <mergeCell ref="E271:F271"/>
    <mergeCell ref="G271:H271"/>
    <mergeCell ref="I271:J271"/>
    <mergeCell ref="K271:L271"/>
    <mergeCell ref="M271:N271"/>
    <mergeCell ref="B246:N246"/>
    <mergeCell ref="C248:N248"/>
    <mergeCell ref="C249:D249"/>
    <mergeCell ref="E249:F249"/>
    <mergeCell ref="G249:H249"/>
    <mergeCell ref="I249:J249"/>
    <mergeCell ref="K249:L249"/>
    <mergeCell ref="M249:N249"/>
    <mergeCell ref="B224:N224"/>
    <mergeCell ref="C226:N226"/>
    <mergeCell ref="C227:D227"/>
    <mergeCell ref="E227:F227"/>
    <mergeCell ref="G227:H227"/>
    <mergeCell ref="I227:J227"/>
    <mergeCell ref="K227:L227"/>
    <mergeCell ref="M227:N227"/>
    <mergeCell ref="B202:N202"/>
    <mergeCell ref="C204:N204"/>
    <mergeCell ref="C205:D205"/>
    <mergeCell ref="E205:F205"/>
    <mergeCell ref="G205:H205"/>
    <mergeCell ref="I205:J205"/>
    <mergeCell ref="K205:L205"/>
    <mergeCell ref="M205:N205"/>
    <mergeCell ref="B180:N180"/>
    <mergeCell ref="C182:N182"/>
    <mergeCell ref="C183:D183"/>
    <mergeCell ref="E183:F183"/>
    <mergeCell ref="G183:H183"/>
    <mergeCell ref="I183:J183"/>
    <mergeCell ref="K183:L183"/>
    <mergeCell ref="M183:N183"/>
    <mergeCell ref="B158:N158"/>
    <mergeCell ref="C160:N160"/>
    <mergeCell ref="C161:D161"/>
    <mergeCell ref="E161:F161"/>
    <mergeCell ref="G161:H161"/>
    <mergeCell ref="I161:J161"/>
    <mergeCell ref="K161:L161"/>
    <mergeCell ref="M161:N161"/>
    <mergeCell ref="B136:N136"/>
    <mergeCell ref="C138:N138"/>
    <mergeCell ref="C139:D139"/>
    <mergeCell ref="E139:F139"/>
    <mergeCell ref="G139:H139"/>
    <mergeCell ref="I139:J139"/>
    <mergeCell ref="K139:L139"/>
    <mergeCell ref="M139:N139"/>
    <mergeCell ref="B114:N114"/>
    <mergeCell ref="C116:N116"/>
    <mergeCell ref="C117:D117"/>
    <mergeCell ref="E117:F117"/>
    <mergeCell ref="G117:H117"/>
    <mergeCell ref="I117:J117"/>
    <mergeCell ref="K117:L117"/>
    <mergeCell ref="M117:N117"/>
    <mergeCell ref="B92:N92"/>
    <mergeCell ref="C94:N94"/>
    <mergeCell ref="C95:D95"/>
    <mergeCell ref="E95:F95"/>
    <mergeCell ref="G95:H95"/>
    <mergeCell ref="I95:J95"/>
    <mergeCell ref="K95:L95"/>
    <mergeCell ref="M95:N95"/>
    <mergeCell ref="B70:N70"/>
    <mergeCell ref="C72:N72"/>
    <mergeCell ref="C73:D73"/>
    <mergeCell ref="E73:F73"/>
    <mergeCell ref="G73:H73"/>
    <mergeCell ref="I73:J73"/>
    <mergeCell ref="K73:L73"/>
    <mergeCell ref="M73:N73"/>
    <mergeCell ref="B48:N48"/>
    <mergeCell ref="C50:N50"/>
    <mergeCell ref="C51:D51"/>
    <mergeCell ref="E51:F51"/>
    <mergeCell ref="G51:H51"/>
    <mergeCell ref="I51:J51"/>
    <mergeCell ref="K51:L51"/>
    <mergeCell ref="M51:N51"/>
    <mergeCell ref="B26:N26"/>
    <mergeCell ref="C28:N28"/>
    <mergeCell ref="C29:D29"/>
    <mergeCell ref="E29:F29"/>
    <mergeCell ref="G29:H29"/>
    <mergeCell ref="I29:J29"/>
    <mergeCell ref="K29:L29"/>
    <mergeCell ref="M29:N29"/>
    <mergeCell ref="B4:N4"/>
    <mergeCell ref="C6:N6"/>
    <mergeCell ref="C7:D7"/>
    <mergeCell ref="E7:F7"/>
    <mergeCell ref="G7:H7"/>
    <mergeCell ref="I7:J7"/>
    <mergeCell ref="K7:L7"/>
    <mergeCell ref="M7:N7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B6248-A570-4289-98A1-1A699938166F}">
  <sheetPr>
    <tabColor theme="7" tint="0.79998168889431442"/>
  </sheetPr>
  <dimension ref="A4:R23"/>
  <sheetViews>
    <sheetView showGridLines="0" zoomScaleNormal="100" workbookViewId="0">
      <selection activeCell="G10" sqref="G10"/>
    </sheetView>
  </sheetViews>
  <sheetFormatPr baseColWidth="10" defaultColWidth="11.42578125" defaultRowHeight="15" x14ac:dyDescent="0.25"/>
  <cols>
    <col min="1" max="1" width="15.28515625" customWidth="1"/>
    <col min="2" max="2" width="14.28515625" customWidth="1"/>
    <col min="17" max="17" width="13.5703125" bestFit="1" customWidth="1"/>
  </cols>
  <sheetData>
    <row r="4" spans="1:18" ht="48.75" customHeight="1" thickBot="1" x14ac:dyDescent="0.3">
      <c r="B4" s="12" t="s">
        <v>238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" t="s">
        <v>68</v>
      </c>
    </row>
    <row r="5" spans="1:18" ht="10.5" customHeight="1" thickBot="1" x14ac:dyDescent="0.3">
      <c r="B5" s="132"/>
      <c r="C5" s="132"/>
      <c r="D5" s="132"/>
      <c r="E5" s="132"/>
      <c r="F5" s="132"/>
      <c r="G5" s="132"/>
      <c r="H5" s="132"/>
      <c r="I5" s="132"/>
      <c r="J5" s="133"/>
      <c r="K5" s="132"/>
      <c r="L5" s="132"/>
      <c r="M5" s="132"/>
      <c r="N5" s="132"/>
      <c r="O5" s="132"/>
      <c r="P5" s="4"/>
      <c r="Q5" s="4"/>
      <c r="R5" s="1" t="s">
        <v>69</v>
      </c>
    </row>
    <row r="6" spans="1:18" ht="22.5" thickTop="1" thickBot="1" x14ac:dyDescent="0.3">
      <c r="B6" s="134" t="s">
        <v>32</v>
      </c>
      <c r="C6" s="135" t="s">
        <v>134</v>
      </c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</row>
    <row r="7" spans="1:18" ht="22.5" thickTop="1" thickBot="1" x14ac:dyDescent="0.3">
      <c r="B7" s="137"/>
      <c r="C7" s="156">
        <v>2018</v>
      </c>
      <c r="D7" s="138">
        <v>2019</v>
      </c>
      <c r="E7" s="139"/>
      <c r="F7" s="138">
        <v>2020</v>
      </c>
      <c r="G7" s="139"/>
      <c r="H7" s="138">
        <v>2021</v>
      </c>
      <c r="I7" s="139"/>
      <c r="J7" s="138">
        <v>2022</v>
      </c>
      <c r="K7" s="139"/>
      <c r="L7" s="140">
        <v>2023</v>
      </c>
      <c r="M7" s="139"/>
      <c r="N7" s="140">
        <v>2024</v>
      </c>
      <c r="O7" s="141"/>
      <c r="P7" s="140">
        <v>2025</v>
      </c>
      <c r="Q7" s="141"/>
    </row>
    <row r="8" spans="1:18" ht="16.5" thickTop="1" thickBot="1" x14ac:dyDescent="0.3">
      <c r="B8" s="109"/>
      <c r="C8" s="142" t="s">
        <v>71</v>
      </c>
      <c r="D8" s="142" t="s">
        <v>71</v>
      </c>
      <c r="E8" s="143" t="s">
        <v>135</v>
      </c>
      <c r="F8" s="142" t="s">
        <v>71</v>
      </c>
      <c r="G8" s="143" t="s">
        <v>136</v>
      </c>
      <c r="H8" s="142" t="s">
        <v>71</v>
      </c>
      <c r="I8" s="143" t="s">
        <v>137</v>
      </c>
      <c r="J8" s="142" t="s">
        <v>71</v>
      </c>
      <c r="K8" s="143" t="s">
        <v>138</v>
      </c>
      <c r="L8" s="144" t="s">
        <v>71</v>
      </c>
      <c r="M8" s="143" t="s">
        <v>250</v>
      </c>
      <c r="N8" s="144" t="s">
        <v>71</v>
      </c>
      <c r="O8" s="143" t="s">
        <v>251</v>
      </c>
      <c r="P8" s="144" t="s">
        <v>71</v>
      </c>
      <c r="Q8" s="143" t="s">
        <v>138</v>
      </c>
    </row>
    <row r="9" spans="1:18" x14ac:dyDescent="0.25">
      <c r="A9" s="1" t="s">
        <v>72</v>
      </c>
      <c r="B9" s="145" t="s">
        <v>73</v>
      </c>
      <c r="C9" s="146">
        <v>20994</v>
      </c>
      <c r="D9" s="146">
        <v>19740</v>
      </c>
      <c r="E9" s="147">
        <f t="shared" ref="E9:E21" si="0">D9/C9-1</f>
        <v>-5.9731351814804268E-2</v>
      </c>
      <c r="F9" s="146">
        <v>21031</v>
      </c>
      <c r="G9" s="147">
        <f>F9/D9-1</f>
        <v>6.5400202634245286E-2</v>
      </c>
      <c r="H9" s="146">
        <v>6223</v>
      </c>
      <c r="I9" s="147">
        <f>IFERROR(H9/F9-1,"-")</f>
        <v>-0.70410346631163523</v>
      </c>
      <c r="J9" s="146">
        <v>15598</v>
      </c>
      <c r="K9" s="147">
        <f>IFERROR(J9/H9-1,"-")</f>
        <v>1.5065081150570463</v>
      </c>
      <c r="L9" s="146">
        <v>22490</v>
      </c>
      <c r="M9" s="147">
        <f t="shared" ref="M9:M21" si="1">IFERROR(L9/J9-1,"-")</f>
        <v>0.44185151942556744</v>
      </c>
      <c r="N9" s="146">
        <v>22650</v>
      </c>
      <c r="O9" s="147">
        <f>IFERROR(N9/L9-1,"-")</f>
        <v>7.1142730102267127E-3</v>
      </c>
      <c r="P9" s="146">
        <v>22528</v>
      </c>
      <c r="Q9" s="147">
        <f t="shared" ref="Q9:Q20" si="2">IFERROR(P9/N9-1,"-")</f>
        <v>-5.3863134657836653E-3</v>
      </c>
    </row>
    <row r="10" spans="1:18" x14ac:dyDescent="0.25">
      <c r="A10" s="1" t="s">
        <v>74</v>
      </c>
      <c r="B10" s="145" t="s">
        <v>75</v>
      </c>
      <c r="C10" s="146">
        <v>21076</v>
      </c>
      <c r="D10" s="146">
        <v>19223</v>
      </c>
      <c r="E10" s="147">
        <f t="shared" si="0"/>
        <v>-8.7919908901119781E-2</v>
      </c>
      <c r="F10" s="146">
        <v>22403</v>
      </c>
      <c r="G10" s="147">
        <f t="shared" ref="G10:G20" si="3">F10/D10-1</f>
        <v>0.16542683244030587</v>
      </c>
      <c r="H10" s="146">
        <v>5135</v>
      </c>
      <c r="I10" s="147">
        <f t="shared" ref="I10:I21" si="4">IFERROR(H10/F10-1,"-")</f>
        <v>-0.7707896263893228</v>
      </c>
      <c r="J10" s="146">
        <v>21666</v>
      </c>
      <c r="K10" s="147">
        <f t="shared" ref="K10:K21" si="5">IFERROR(J10/H10-1,"-")</f>
        <v>3.2192794547224928</v>
      </c>
      <c r="L10" s="146">
        <v>23086</v>
      </c>
      <c r="M10" s="147">
        <f t="shared" si="1"/>
        <v>6.5540478168559124E-2</v>
      </c>
      <c r="N10" s="146">
        <v>23921</v>
      </c>
      <c r="O10" s="147">
        <f t="shared" ref="O10:O21" si="6">IFERROR(N10/L10-1,"-")</f>
        <v>3.6169106817985019E-2</v>
      </c>
      <c r="P10" s="146">
        <v>23285</v>
      </c>
      <c r="Q10" s="147">
        <f t="shared" si="2"/>
        <v>-2.6587517244262338E-2</v>
      </c>
    </row>
    <row r="11" spans="1:18" x14ac:dyDescent="0.25">
      <c r="A11" s="1" t="s">
        <v>76</v>
      </c>
      <c r="B11" s="145" t="s">
        <v>77</v>
      </c>
      <c r="C11" s="146">
        <v>24045</v>
      </c>
      <c r="D11" s="146">
        <v>21973</v>
      </c>
      <c r="E11" s="147">
        <f t="shared" si="0"/>
        <v>-8.6171761280931625E-2</v>
      </c>
      <c r="F11" s="146">
        <v>8865</v>
      </c>
      <c r="G11" s="147">
        <f t="shared" si="3"/>
        <v>-0.59655031174623407</v>
      </c>
      <c r="H11" s="146">
        <v>5413</v>
      </c>
      <c r="I11" s="147">
        <f t="shared" si="4"/>
        <v>-0.38939650310208684</v>
      </c>
      <c r="J11" s="146">
        <v>22231</v>
      </c>
      <c r="K11" s="147">
        <f t="shared" si="5"/>
        <v>3.1069647145760211</v>
      </c>
      <c r="L11" s="146">
        <v>21689</v>
      </c>
      <c r="M11" s="147">
        <f t="shared" si="1"/>
        <v>-2.4380369753947195E-2</v>
      </c>
      <c r="N11" s="146">
        <v>27356</v>
      </c>
      <c r="O11" s="147">
        <f t="shared" si="6"/>
        <v>0.26128452210798092</v>
      </c>
      <c r="P11" s="146">
        <v>24054</v>
      </c>
      <c r="Q11" s="147">
        <f t="shared" si="2"/>
        <v>-0.12070478140078955</v>
      </c>
    </row>
    <row r="12" spans="1:18" x14ac:dyDescent="0.25">
      <c r="A12" s="1" t="s">
        <v>78</v>
      </c>
      <c r="B12" s="145" t="s">
        <v>79</v>
      </c>
      <c r="C12" s="146">
        <v>19710</v>
      </c>
      <c r="D12" s="146">
        <v>20119</v>
      </c>
      <c r="E12" s="147">
        <f t="shared" si="0"/>
        <v>2.0750887874175561E-2</v>
      </c>
      <c r="F12" s="146">
        <v>0</v>
      </c>
      <c r="G12" s="147">
        <f t="shared" si="3"/>
        <v>-1</v>
      </c>
      <c r="H12" s="146">
        <v>6463</v>
      </c>
      <c r="I12" s="147" t="str">
        <f t="shared" si="4"/>
        <v>-</v>
      </c>
      <c r="J12" s="146">
        <v>23894</v>
      </c>
      <c r="K12" s="147">
        <f t="shared" si="5"/>
        <v>2.6970447160761255</v>
      </c>
      <c r="L12" s="146">
        <v>23484</v>
      </c>
      <c r="M12" s="147">
        <f t="shared" si="1"/>
        <v>-1.715911944421189E-2</v>
      </c>
      <c r="N12" s="146">
        <v>22205</v>
      </c>
      <c r="O12" s="147">
        <f t="shared" si="6"/>
        <v>-5.4462612842786529E-2</v>
      </c>
      <c r="P12" s="146">
        <v>23503</v>
      </c>
      <c r="Q12" s="147">
        <f t="shared" si="2"/>
        <v>5.845530285971634E-2</v>
      </c>
    </row>
    <row r="13" spans="1:18" x14ac:dyDescent="0.25">
      <c r="A13" s="1" t="s">
        <v>80</v>
      </c>
      <c r="B13" s="145" t="s">
        <v>81</v>
      </c>
      <c r="C13" s="146">
        <v>22493</v>
      </c>
      <c r="D13" s="146">
        <v>14799</v>
      </c>
      <c r="E13" s="147">
        <f t="shared" si="0"/>
        <v>-0.34206197483661582</v>
      </c>
      <c r="F13" s="146">
        <v>0</v>
      </c>
      <c r="G13" s="147">
        <f t="shared" si="3"/>
        <v>-1</v>
      </c>
      <c r="H13" s="146">
        <v>6823</v>
      </c>
      <c r="I13" s="147" t="str">
        <f t="shared" si="4"/>
        <v>-</v>
      </c>
      <c r="J13" s="146">
        <v>20251</v>
      </c>
      <c r="K13" s="147">
        <f t="shared" si="5"/>
        <v>1.9680492452000586</v>
      </c>
      <c r="L13" s="146">
        <v>21547</v>
      </c>
      <c r="M13" s="147">
        <f t="shared" si="1"/>
        <v>6.3996839662238791E-2</v>
      </c>
      <c r="N13" s="146">
        <v>23449</v>
      </c>
      <c r="O13" s="147">
        <f t="shared" si="6"/>
        <v>8.8272149255116616E-2</v>
      </c>
      <c r="P13" s="146">
        <v>19536</v>
      </c>
      <c r="Q13" s="147">
        <f t="shared" si="2"/>
        <v>-0.16687278775214298</v>
      </c>
    </row>
    <row r="14" spans="1:18" x14ac:dyDescent="0.25">
      <c r="A14" s="1" t="s">
        <v>82</v>
      </c>
      <c r="B14" s="145" t="s">
        <v>83</v>
      </c>
      <c r="C14" s="146">
        <v>24346</v>
      </c>
      <c r="D14" s="146">
        <v>19316</v>
      </c>
      <c r="E14" s="147">
        <f t="shared" si="0"/>
        <v>-0.20660478107286617</v>
      </c>
      <c r="F14" s="146">
        <v>0</v>
      </c>
      <c r="G14" s="147">
        <f t="shared" si="3"/>
        <v>-1</v>
      </c>
      <c r="H14" s="146">
        <v>3802</v>
      </c>
      <c r="I14" s="147" t="str">
        <f t="shared" si="4"/>
        <v>-</v>
      </c>
      <c r="J14" s="146">
        <v>18886</v>
      </c>
      <c r="K14" s="147">
        <f t="shared" si="5"/>
        <v>3.9673855865334033</v>
      </c>
      <c r="L14" s="146">
        <v>21065</v>
      </c>
      <c r="M14" s="147">
        <f t="shared" si="1"/>
        <v>0.11537646934237</v>
      </c>
      <c r="N14" s="146">
        <v>22841</v>
      </c>
      <c r="O14" s="147">
        <f t="shared" si="6"/>
        <v>8.4310467600284822E-2</v>
      </c>
      <c r="P14" s="146">
        <v>23159</v>
      </c>
      <c r="Q14" s="147">
        <f t="shared" si="2"/>
        <v>1.3922332647432256E-2</v>
      </c>
    </row>
    <row r="15" spans="1:18" x14ac:dyDescent="0.25">
      <c r="A15" s="1" t="s">
        <v>84</v>
      </c>
      <c r="B15" s="145" t="s">
        <v>85</v>
      </c>
      <c r="C15" s="146">
        <v>24909</v>
      </c>
      <c r="D15" s="146">
        <v>24858</v>
      </c>
      <c r="E15" s="147">
        <f t="shared" si="0"/>
        <v>-2.0474527279296106E-3</v>
      </c>
      <c r="F15" s="146">
        <v>0</v>
      </c>
      <c r="G15" s="147">
        <f t="shared" si="3"/>
        <v>-1</v>
      </c>
      <c r="H15" s="146">
        <v>10219</v>
      </c>
      <c r="I15" s="147" t="str">
        <f t="shared" si="4"/>
        <v>-</v>
      </c>
      <c r="J15" s="146">
        <v>23111</v>
      </c>
      <c r="K15" s="147">
        <f t="shared" si="5"/>
        <v>1.2615715823466092</v>
      </c>
      <c r="L15" s="146">
        <v>24276</v>
      </c>
      <c r="M15" s="147">
        <f t="shared" si="1"/>
        <v>5.040889619661626E-2</v>
      </c>
      <c r="N15" s="146">
        <v>24893</v>
      </c>
      <c r="O15" s="147">
        <f t="shared" si="6"/>
        <v>2.5416048772450184E-2</v>
      </c>
      <c r="P15" s="146">
        <v>27952</v>
      </c>
      <c r="Q15" s="147">
        <f t="shared" si="2"/>
        <v>0.12288595187402085</v>
      </c>
    </row>
    <row r="16" spans="1:18" x14ac:dyDescent="0.25">
      <c r="A16" s="1" t="s">
        <v>86</v>
      </c>
      <c r="B16" s="145" t="s">
        <v>87</v>
      </c>
      <c r="C16" s="146">
        <v>26522</v>
      </c>
      <c r="D16" s="146">
        <v>24709</v>
      </c>
      <c r="E16" s="147">
        <f t="shared" si="0"/>
        <v>-6.8358344016288375E-2</v>
      </c>
      <c r="F16" s="146">
        <v>13295</v>
      </c>
      <c r="G16" s="147">
        <f t="shared" si="3"/>
        <v>-0.46193694605204583</v>
      </c>
      <c r="H16" s="146">
        <v>18239</v>
      </c>
      <c r="I16" s="147">
        <f t="shared" si="4"/>
        <v>0.37186912373072589</v>
      </c>
      <c r="J16" s="146">
        <v>24659</v>
      </c>
      <c r="K16" s="147">
        <f t="shared" si="5"/>
        <v>0.35199298207138541</v>
      </c>
      <c r="L16" s="146">
        <v>25495</v>
      </c>
      <c r="M16" s="147">
        <f t="shared" si="1"/>
        <v>3.3902429133379375E-2</v>
      </c>
      <c r="N16" s="146">
        <v>25319</v>
      </c>
      <c r="O16" s="147">
        <f t="shared" si="6"/>
        <v>-6.9033143753677306E-3</v>
      </c>
      <c r="P16" s="146">
        <v>25459</v>
      </c>
      <c r="Q16" s="147">
        <f t="shared" si="2"/>
        <v>5.5294442908486729E-3</v>
      </c>
    </row>
    <row r="17" spans="1:17" x14ac:dyDescent="0.25">
      <c r="A17" s="1" t="s">
        <v>88</v>
      </c>
      <c r="B17" s="145" t="s">
        <v>89</v>
      </c>
      <c r="C17" s="146">
        <v>23824</v>
      </c>
      <c r="D17" s="146">
        <v>22149</v>
      </c>
      <c r="E17" s="147">
        <f t="shared" si="0"/>
        <v>-7.0307253190060481E-2</v>
      </c>
      <c r="F17" s="146">
        <v>5725</v>
      </c>
      <c r="G17" s="147">
        <f t="shared" si="3"/>
        <v>-0.74152331933721616</v>
      </c>
      <c r="H17" s="146">
        <v>15267</v>
      </c>
      <c r="I17" s="147">
        <f t="shared" si="4"/>
        <v>1.6667248908296943</v>
      </c>
      <c r="J17" s="146">
        <v>20130</v>
      </c>
      <c r="K17" s="147">
        <f t="shared" si="5"/>
        <v>0.31853016309687554</v>
      </c>
      <c r="L17" s="146">
        <v>22106</v>
      </c>
      <c r="M17" s="147">
        <f t="shared" si="1"/>
        <v>9.8161947342275235E-2</v>
      </c>
      <c r="N17" s="146">
        <v>21182</v>
      </c>
      <c r="O17" s="147">
        <f t="shared" si="6"/>
        <v>-4.1798606713109532E-2</v>
      </c>
      <c r="P17" s="146">
        <v>24257</v>
      </c>
      <c r="Q17" s="147">
        <f t="shared" si="2"/>
        <v>0.14517042772165056</v>
      </c>
    </row>
    <row r="18" spans="1:17" x14ac:dyDescent="0.25">
      <c r="A18" s="1" t="s">
        <v>90</v>
      </c>
      <c r="B18" s="145" t="s">
        <v>91</v>
      </c>
      <c r="C18" s="146">
        <v>23201</v>
      </c>
      <c r="D18" s="146">
        <v>22803</v>
      </c>
      <c r="E18" s="147">
        <f t="shared" si="0"/>
        <v>-1.7154432998577662E-2</v>
      </c>
      <c r="F18" s="146">
        <v>6665</v>
      </c>
      <c r="G18" s="147">
        <f t="shared" si="3"/>
        <v>-0.70771389729421563</v>
      </c>
      <c r="H18" s="146">
        <v>23140</v>
      </c>
      <c r="I18" s="147">
        <f t="shared" si="4"/>
        <v>2.471867966991748</v>
      </c>
      <c r="J18" s="146">
        <v>22327</v>
      </c>
      <c r="K18" s="147">
        <f t="shared" si="5"/>
        <v>-3.5133967156439017E-2</v>
      </c>
      <c r="L18" s="146">
        <v>25007</v>
      </c>
      <c r="M18" s="147">
        <f t="shared" si="1"/>
        <v>0.12003403950373981</v>
      </c>
      <c r="N18" s="146">
        <v>27341</v>
      </c>
      <c r="O18" s="147">
        <f t="shared" si="6"/>
        <v>9.3333866517375075E-2</v>
      </c>
      <c r="P18" s="146" t="s">
        <v>252</v>
      </c>
      <c r="Q18" s="147" t="str">
        <f t="shared" si="2"/>
        <v>-</v>
      </c>
    </row>
    <row r="19" spans="1:17" x14ac:dyDescent="0.25">
      <c r="A19" s="1" t="s">
        <v>92</v>
      </c>
      <c r="B19" s="145" t="s">
        <v>93</v>
      </c>
      <c r="C19" s="146">
        <v>19829</v>
      </c>
      <c r="D19" s="146">
        <v>19561</v>
      </c>
      <c r="E19" s="147">
        <f t="shared" si="0"/>
        <v>-1.3515558021080287E-2</v>
      </c>
      <c r="F19" s="146">
        <v>4928</v>
      </c>
      <c r="G19" s="147">
        <f t="shared" si="3"/>
        <v>-0.74807013956341706</v>
      </c>
      <c r="H19" s="146">
        <v>19838</v>
      </c>
      <c r="I19" s="147">
        <f t="shared" si="4"/>
        <v>3.0255681818181817</v>
      </c>
      <c r="J19" s="146">
        <v>21079</v>
      </c>
      <c r="K19" s="147">
        <f t="shared" si="5"/>
        <v>6.2556709345700234E-2</v>
      </c>
      <c r="L19" s="146">
        <v>24207</v>
      </c>
      <c r="M19" s="147">
        <f t="shared" si="1"/>
        <v>0.14839413634422893</v>
      </c>
      <c r="N19" s="146">
        <v>23363</v>
      </c>
      <c r="O19" s="147">
        <f t="shared" si="6"/>
        <v>-3.4865947866319691E-2</v>
      </c>
      <c r="P19" s="146" t="s">
        <v>252</v>
      </c>
      <c r="Q19" s="147" t="str">
        <f t="shared" si="2"/>
        <v>-</v>
      </c>
    </row>
    <row r="20" spans="1:17" x14ac:dyDescent="0.25">
      <c r="A20" s="1" t="s">
        <v>94</v>
      </c>
      <c r="B20" s="145" t="s">
        <v>95</v>
      </c>
      <c r="C20" s="146">
        <v>21479</v>
      </c>
      <c r="D20" s="146">
        <v>20974</v>
      </c>
      <c r="E20" s="147">
        <f t="shared" si="0"/>
        <v>-2.3511336654406634E-2</v>
      </c>
      <c r="F20" s="146">
        <v>6261</v>
      </c>
      <c r="G20" s="147">
        <f t="shared" si="3"/>
        <v>-0.70148755602174118</v>
      </c>
      <c r="H20" s="146">
        <v>19784</v>
      </c>
      <c r="I20" s="147">
        <f t="shared" si="4"/>
        <v>2.1598786136399934</v>
      </c>
      <c r="J20" s="146">
        <v>23285</v>
      </c>
      <c r="K20" s="147">
        <f t="shared" si="5"/>
        <v>0.17696118075212297</v>
      </c>
      <c r="L20" s="146">
        <v>24142</v>
      </c>
      <c r="M20" s="147">
        <f t="shared" si="1"/>
        <v>3.6804809963495888E-2</v>
      </c>
      <c r="N20" s="146">
        <v>23290</v>
      </c>
      <c r="O20" s="147">
        <f t="shared" si="6"/>
        <v>-3.5291193770193074E-2</v>
      </c>
      <c r="P20" s="146" t="s">
        <v>252</v>
      </c>
      <c r="Q20" s="147" t="str">
        <f t="shared" si="2"/>
        <v>-</v>
      </c>
    </row>
    <row r="21" spans="1:17" ht="15.75" x14ac:dyDescent="0.25">
      <c r="A21" s="1" t="s">
        <v>0</v>
      </c>
      <c r="B21" s="148" t="s">
        <v>32</v>
      </c>
      <c r="C21" s="149">
        <v>272428</v>
      </c>
      <c r="D21" s="149">
        <v>250224</v>
      </c>
      <c r="E21" s="150">
        <f t="shared" si="0"/>
        <v>-8.1504103836609998E-2</v>
      </c>
      <c r="F21" s="149">
        <v>96681</v>
      </c>
      <c r="G21" s="150">
        <f>F21/D21-1</f>
        <v>-0.61362219451371569</v>
      </c>
      <c r="H21" s="149">
        <v>140346</v>
      </c>
      <c r="I21" s="150">
        <f t="shared" si="4"/>
        <v>0.45163992925186958</v>
      </c>
      <c r="J21" s="149">
        <v>257117</v>
      </c>
      <c r="K21" s="150">
        <f t="shared" si="5"/>
        <v>0.83202228777450027</v>
      </c>
      <c r="L21" s="149">
        <v>278594</v>
      </c>
      <c r="M21" s="150">
        <f t="shared" si="1"/>
        <v>8.3530066078866927E-2</v>
      </c>
      <c r="N21" s="149">
        <v>287810</v>
      </c>
      <c r="O21" s="150">
        <f t="shared" si="6"/>
        <v>3.3080396562739978E-2</v>
      </c>
      <c r="P21" s="149">
        <v>213733</v>
      </c>
      <c r="Q21" s="150">
        <v>-3.8818423317243944E-4</v>
      </c>
    </row>
    <row r="22" spans="1:17" ht="6" customHeight="1" x14ac:dyDescent="0.25"/>
    <row r="23" spans="1:17" x14ac:dyDescent="0.25">
      <c r="B23" s="131" t="s">
        <v>57</v>
      </c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46"/>
      <c r="Q23" s="131"/>
    </row>
  </sheetData>
  <mergeCells count="9">
    <mergeCell ref="B4:Q4"/>
    <mergeCell ref="C6:Q6"/>
    <mergeCell ref="D7:E7"/>
    <mergeCell ref="F7:G7"/>
    <mergeCell ref="H7:I7"/>
    <mergeCell ref="J7:K7"/>
    <mergeCell ref="L7:M7"/>
    <mergeCell ref="N7:O7"/>
    <mergeCell ref="P7:Q7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69C42FB1FA284BA60CDF94DEB4DBF3" ma:contentTypeVersion="19" ma:contentTypeDescription="Crear nuevo documento." ma:contentTypeScope="" ma:versionID="090c0b7294b84836526f6f7c1d9c854f">
  <xsd:schema xmlns:xsd="http://www.w3.org/2001/XMLSchema" xmlns:xs="http://www.w3.org/2001/XMLSchema" xmlns:p="http://schemas.microsoft.com/office/2006/metadata/properties" xmlns:ns2="9b82f571-e864-4b98-84bd-930f661ed42a" xmlns:ns3="8c9163ab-4d1c-46a7-8d61-b5cee27b7450" targetNamespace="http://schemas.microsoft.com/office/2006/metadata/properties" ma:root="true" ma:fieldsID="c85de1f908bc78fd08d97c8a0418e287" ns2:_="" ns3:_="">
    <xsd:import namespace="9b82f571-e864-4b98-84bd-930f661ed42a"/>
    <xsd:import namespace="8c9163ab-4d1c-46a7-8d61-b5cee27b7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2f571-e864-4b98-84bd-930f661ed4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3325280-2aef-4f39-8940-b77a215173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163ab-4d1c-46a7-8d61-b5cee27b745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db4f369-2d72-4174-95fe-41f9ef52a544}" ma:internalName="TaxCatchAll" ma:showField="CatchAllData" ma:web="8c9163ab-4d1c-46a7-8d61-b5cee27b74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82f571-e864-4b98-84bd-930f661ed42a">
      <Terms xmlns="http://schemas.microsoft.com/office/infopath/2007/PartnerControls"/>
    </lcf76f155ced4ddcb4097134ff3c332f>
    <TaxCatchAll xmlns="8c9163ab-4d1c-46a7-8d61-b5cee27b7450" xsi:nil="true"/>
  </documentManagement>
</p:properties>
</file>

<file path=customXml/itemProps1.xml><?xml version="1.0" encoding="utf-8"?>
<ds:datastoreItem xmlns:ds="http://schemas.openxmlformats.org/officeDocument/2006/customXml" ds:itemID="{CB80381E-DCBE-48EA-BEAE-2D44E6D7FF1B}"/>
</file>

<file path=customXml/itemProps2.xml><?xml version="1.0" encoding="utf-8"?>
<ds:datastoreItem xmlns:ds="http://schemas.openxmlformats.org/officeDocument/2006/customXml" ds:itemID="{9FA08706-7A73-4A36-BF79-B880BD6AC5AD}"/>
</file>

<file path=customXml/itemProps3.xml><?xml version="1.0" encoding="utf-8"?>
<ds:datastoreItem xmlns:ds="http://schemas.openxmlformats.org/officeDocument/2006/customXml" ds:itemID="{844FCFFD-117B-4263-A161-377AD9DB14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48</vt:i4>
      </vt:variant>
      <vt:variant>
        <vt:lpstr>Rangos con nombre</vt:lpstr>
      </vt:variant>
      <vt:variant>
        <vt:i4>17</vt:i4>
      </vt:variant>
    </vt:vector>
  </HeadingPairs>
  <TitlesOfParts>
    <vt:vector size="65" baseType="lpstr">
      <vt:lpstr>Menú principal</vt:lpstr>
      <vt:lpstr>Resumen indicadores (aloj)</vt:lpstr>
      <vt:lpstr>Resumen indicadores municipios </vt:lpstr>
      <vt:lpstr>Oferta alojativa</vt:lpstr>
      <vt:lpstr>Plazas aloj islas cat y tipolog</vt:lpstr>
      <vt:lpstr>Establecim aloj islas cat y tip</vt:lpstr>
      <vt:lpstr>viajeros entrados</vt:lpstr>
      <vt:lpstr>Viajeros entr evol mensu TF</vt:lpstr>
      <vt:lpstr>Viajeros entr evol mensu TF15-2</vt:lpstr>
      <vt:lpstr>Viajeros entr evol mensu TF cat</vt:lpstr>
      <vt:lpstr>Viajeros entr evol anual TF cat</vt:lpstr>
      <vt:lpstr>Viajeros entr ti-cat ultimo mes</vt:lpstr>
      <vt:lpstr>viaj entrados lugar resid años </vt:lpstr>
      <vt:lpstr>viaj entrados lugar residencia</vt:lpstr>
      <vt:lpstr>viaj entrados lugar residen acu</vt:lpstr>
      <vt:lpstr>viaj entrados lugar residen hot</vt:lpstr>
      <vt:lpstr>viaj entrados lugar residen apt</vt:lpstr>
      <vt:lpstr>viaj entrados lugar residen cat</vt:lpstr>
      <vt:lpstr>viaj entr lugar res año categor</vt:lpstr>
      <vt:lpstr>viajeros alojados</vt:lpstr>
      <vt:lpstr>viaj aloj lugar residen mes</vt:lpstr>
      <vt:lpstr>viaj alojados lugar residen acu</vt:lpstr>
      <vt:lpstr>Pernoctaciones</vt:lpstr>
      <vt:lpstr>Pernoctaciones evol mensu TF</vt:lpstr>
      <vt:lpstr>Pernocta evol mensu TF cat</vt:lpstr>
      <vt:lpstr>Pernoctaciones lugar reside</vt:lpstr>
      <vt:lpstr>Pernoctaciones lugar residen ac</vt:lpstr>
      <vt:lpstr>Pernoctaciones lugar reside año</vt:lpstr>
      <vt:lpstr>Estancia media</vt:lpstr>
      <vt:lpstr>EM evol menusual lugar resd</vt:lpstr>
      <vt:lpstr>EM evol mensu TF cat </vt:lpstr>
      <vt:lpstr>Tasa de ocupación</vt:lpstr>
      <vt:lpstr>tasa de ocupación evol mens</vt:lpstr>
      <vt:lpstr>indicadores rentabilidad</vt:lpstr>
      <vt:lpstr>ADR RevPAR ingresos totales ult</vt:lpstr>
      <vt:lpstr>ADR municipios</vt:lpstr>
      <vt:lpstr>RevPAR  municipios</vt:lpstr>
      <vt:lpstr>viajeros españoles</vt:lpstr>
      <vt:lpstr>distribución españoles x Resid</vt:lpstr>
      <vt:lpstr>distribución españoles x cate</vt:lpstr>
      <vt:lpstr>distribución peninsulare x cate</vt:lpstr>
      <vt:lpstr>distribución canarios x cate</vt:lpstr>
      <vt:lpstr>distribución españoles x mun al</vt:lpstr>
      <vt:lpstr>distribución peninsula x munici</vt:lpstr>
      <vt:lpstr>distribución canarias x munici</vt:lpstr>
      <vt:lpstr>evolución anual viaj ent españo</vt:lpstr>
      <vt:lpstr>evolución anual viaj ent penins</vt:lpstr>
      <vt:lpstr>evolución anual viaj ent canari</vt:lpstr>
      <vt:lpstr>'distribución canarias x munici'!Área_de_impresión</vt:lpstr>
      <vt:lpstr>'distribución canarios x cate'!Área_de_impresión</vt:lpstr>
      <vt:lpstr>'distribución españoles x cate'!Área_de_impresión</vt:lpstr>
      <vt:lpstr>'distribución españoles x mun al'!Área_de_impresión</vt:lpstr>
      <vt:lpstr>'distribución españoles x Resid'!Área_de_impresión</vt:lpstr>
      <vt:lpstr>'distribución peninsula x munici'!Área_de_impresión</vt:lpstr>
      <vt:lpstr>'distribución peninsulare x cate'!Área_de_impresión</vt:lpstr>
      <vt:lpstr>'Pernoctaciones lugar reside'!Área_de_impresión</vt:lpstr>
      <vt:lpstr>'Pernoctaciones lugar reside año'!Área_de_impresión</vt:lpstr>
      <vt:lpstr>'Pernoctaciones lugar residen ac'!Área_de_impresión</vt:lpstr>
      <vt:lpstr>'viaj alojados lugar residen acu'!Área_de_impresión</vt:lpstr>
      <vt:lpstr>'viaj entr lugar res año categor'!Área_de_impresión</vt:lpstr>
      <vt:lpstr>'viaj entrados lugar resid años '!Área_de_impresión</vt:lpstr>
      <vt:lpstr>'viaj entrados lugar residen acu'!Área_de_impresión</vt:lpstr>
      <vt:lpstr>'viaj entrados lugar residen apt'!Área_de_impresión</vt:lpstr>
      <vt:lpstr>'viaj entrados lugar residen cat'!Área_de_impresión</vt:lpstr>
      <vt:lpstr>'viaj entrados lugar residen hot'!Área_de_impresión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Omaira González Pérez</dc:creator>
  <cp:lastModifiedBy>Omaira González Pérez</cp:lastModifiedBy>
  <dcterms:created xsi:type="dcterms:W3CDTF">2025-10-23T10:42:00Z</dcterms:created>
  <dcterms:modified xsi:type="dcterms:W3CDTF">2025-10-23T10:42:45Z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0x010100F969C42FB1FA284BA60CDF94DEB4DBF3</vt:lpwstr>
  </property>
</Properties>
</file>